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Сведения район 2024\"/>
    </mc:Choice>
  </mc:AlternateContent>
  <xr:revisionPtr revIDLastSave="0" documentId="13_ncr:1_{D7D880F4-8699-4081-809E-96A5234E566A}" xr6:coauthVersionLast="47" xr6:coauthVersionMax="47" xr10:uidLastSave="{00000000-0000-0000-0000-000000000000}"/>
  <bookViews>
    <workbookView xWindow="-120" yWindow="-120" windowWidth="25440" windowHeight="15390" activeTab="6" xr2:uid="{00000000-000D-0000-FFFF-FFFF00000000}"/>
  </bookViews>
  <sheets>
    <sheet name="муниц" sheetId="1" r:id="rId1"/>
    <sheet name="Лен " sheetId="2" r:id="rId2"/>
    <sheet name="Высокор" sheetId="3" r:id="rId3"/>
    <sheet name="Гост" sheetId="6" r:id="rId4"/>
    <sheet name="Новотр" sheetId="8" r:id="rId5"/>
    <sheet name="Черн" sheetId="7" r:id="rId6"/>
    <sheet name="консолид" sheetId="9" r:id="rId7"/>
  </sheets>
  <definedNames>
    <definedName name="_xlnm.Print_Area" localSheetId="6">консолид!$A$1:$S$55</definedName>
    <definedName name="_xlnm.Print_Area" localSheetId="0">муниц!$A$1:$S$55</definedName>
    <definedName name="_xlnm.Print_Area" localSheetId="5">Черн!$A$1:$R$42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9" l="1"/>
  <c r="N51" i="9"/>
  <c r="K11" i="9"/>
  <c r="G53" i="9"/>
  <c r="D50" i="9"/>
  <c r="G48" i="1" l="1"/>
  <c r="M48" i="1"/>
  <c r="M6" i="7" l="1"/>
  <c r="G43" i="8"/>
  <c r="M43" i="1"/>
  <c r="Q18" i="6" l="1"/>
  <c r="G18" i="3"/>
  <c r="M20" i="2"/>
  <c r="C50" i="9" l="1"/>
  <c r="M53" i="9"/>
  <c r="H42" i="8"/>
  <c r="I42" i="8"/>
  <c r="L42" i="8"/>
  <c r="G6" i="7"/>
  <c r="K20" i="2" l="1"/>
  <c r="K6" i="2"/>
  <c r="D46" i="2" l="1"/>
  <c r="D37" i="2"/>
  <c r="D39" i="6"/>
  <c r="D40" i="7"/>
  <c r="D29" i="7"/>
  <c r="E28" i="7"/>
  <c r="D49" i="1"/>
  <c r="D50" i="1"/>
  <c r="R6" i="7"/>
  <c r="Q6" i="7"/>
  <c r="P6" i="7"/>
  <c r="R6" i="8"/>
  <c r="P6" i="8"/>
  <c r="R6" i="2"/>
  <c r="Q6" i="2"/>
  <c r="P6" i="2"/>
  <c r="R5" i="1"/>
  <c r="Q5" i="1"/>
  <c r="P5" i="1"/>
  <c r="R18" i="6"/>
  <c r="R19" i="8"/>
  <c r="R18" i="3"/>
  <c r="R20" i="2"/>
  <c r="N42" i="9"/>
  <c r="M42" i="9"/>
  <c r="K42" i="9"/>
  <c r="G42" i="9"/>
  <c r="F42" i="9"/>
  <c r="D42" i="9"/>
  <c r="C42" i="9"/>
  <c r="N32" i="9" l="1"/>
  <c r="M32" i="9"/>
  <c r="G32" i="9"/>
  <c r="D32" i="9"/>
  <c r="C32" i="9"/>
  <c r="O28" i="7"/>
  <c r="K28" i="7"/>
  <c r="K32" i="9" s="1"/>
  <c r="H28" i="7"/>
  <c r="I28" i="7" s="1"/>
  <c r="N26" i="7"/>
  <c r="M26" i="7"/>
  <c r="G26" i="7"/>
  <c r="F26" i="7"/>
  <c r="C26" i="7"/>
  <c r="L28" i="7" l="1"/>
  <c r="C38" i="1"/>
  <c r="N38" i="1"/>
  <c r="M38" i="1"/>
  <c r="K38" i="1"/>
  <c r="G38" i="1"/>
  <c r="F38" i="1"/>
  <c r="D38" i="1"/>
  <c r="O39" i="1" l="1"/>
  <c r="L39" i="1"/>
  <c r="I39" i="1"/>
  <c r="H39" i="1"/>
  <c r="Q20" i="2" l="1"/>
  <c r="N20" i="2" l="1"/>
  <c r="Q19" i="8"/>
  <c r="Q18" i="8" s="1"/>
  <c r="Q34" i="7"/>
  <c r="Q26" i="7"/>
  <c r="Q25" i="7" s="1"/>
  <c r="Q19" i="7"/>
  <c r="Q18" i="7" s="1"/>
  <c r="Q16" i="7"/>
  <c r="Q11" i="7"/>
  <c r="Q32" i="8"/>
  <c r="Q25" i="8"/>
  <c r="Q15" i="8"/>
  <c r="Q6" i="8"/>
  <c r="Q32" i="3"/>
  <c r="Q25" i="3"/>
  <c r="Q24" i="3" s="1"/>
  <c r="Q18" i="3"/>
  <c r="Q17" i="3" s="1"/>
  <c r="Q15" i="3"/>
  <c r="Q10" i="3"/>
  <c r="Q6" i="3"/>
  <c r="Q40" i="2"/>
  <c r="Q35" i="2"/>
  <c r="Q32" i="2"/>
  <c r="Q26" i="2"/>
  <c r="Q25" i="2" s="1"/>
  <c r="Q19" i="2"/>
  <c r="Q17" i="2"/>
  <c r="Q12" i="2"/>
  <c r="Q43" i="1"/>
  <c r="Q38" i="1"/>
  <c r="Q34" i="1"/>
  <c r="Q26" i="1"/>
  <c r="Q16" i="1"/>
  <c r="Q11" i="1"/>
  <c r="Q33" i="6"/>
  <c r="Q25" i="6"/>
  <c r="Q24" i="6" s="1"/>
  <c r="Q17" i="6"/>
  <c r="Q15" i="6"/>
  <c r="Q10" i="6"/>
  <c r="Q6" i="6"/>
  <c r="Q24" i="8" l="1"/>
  <c r="Q5" i="8"/>
  <c r="Q37" i="8" s="1"/>
  <c r="Q43" i="8" s="1"/>
  <c r="Q4" i="1"/>
  <c r="Q5" i="6"/>
  <c r="Q37" i="6" s="1"/>
  <c r="Q42" i="6" s="1"/>
  <c r="Q5" i="7"/>
  <c r="Q38" i="7" s="1"/>
  <c r="Q42" i="7" s="1"/>
  <c r="Q25" i="1"/>
  <c r="Q5" i="2"/>
  <c r="Q44" i="2" s="1"/>
  <c r="Q50" i="2" s="1"/>
  <c r="Q5" i="3"/>
  <c r="Q36" i="3" s="1"/>
  <c r="Q42" i="3" s="1"/>
  <c r="C48" i="9"/>
  <c r="E43" i="2"/>
  <c r="M51" i="9"/>
  <c r="M11" i="9"/>
  <c r="G11" i="9"/>
  <c r="G7" i="9"/>
  <c r="G6" i="8"/>
  <c r="Q47" i="1" l="1"/>
  <c r="Q54" i="1" s="1"/>
  <c r="N6" i="8"/>
  <c r="M6" i="8"/>
  <c r="O10" i="8"/>
  <c r="L10" i="8"/>
  <c r="I10" i="8"/>
  <c r="H10" i="8"/>
  <c r="G33" i="6" l="1"/>
  <c r="M33" i="6"/>
  <c r="K34" i="7" l="1"/>
  <c r="K19" i="7"/>
  <c r="K18" i="7" s="1"/>
  <c r="K16" i="7"/>
  <c r="K33" i="8"/>
  <c r="K26" i="8"/>
  <c r="K19" i="8"/>
  <c r="K18" i="8" s="1"/>
  <c r="K16" i="8"/>
  <c r="K11" i="8"/>
  <c r="K33" i="6"/>
  <c r="K25" i="6"/>
  <c r="K24" i="6" s="1"/>
  <c r="K18" i="6"/>
  <c r="K17" i="6" s="1"/>
  <c r="K15" i="6"/>
  <c r="K10" i="6"/>
  <c r="K32" i="3"/>
  <c r="K25" i="3"/>
  <c r="K18" i="3"/>
  <c r="K17" i="3" s="1"/>
  <c r="K15" i="3"/>
  <c r="K10" i="3"/>
  <c r="K40" i="2"/>
  <c r="K35" i="2"/>
  <c r="K32" i="2"/>
  <c r="K19" i="2"/>
  <c r="K17" i="2"/>
  <c r="K43" i="1"/>
  <c r="K34" i="1"/>
  <c r="K16" i="1"/>
  <c r="K24" i="3" l="1"/>
  <c r="K25" i="8"/>
  <c r="N19" i="7"/>
  <c r="N18" i="7" s="1"/>
  <c r="N16" i="7"/>
  <c r="N26" i="8"/>
  <c r="N19" i="8"/>
  <c r="N18" i="8" s="1"/>
  <c r="N16" i="8"/>
  <c r="N11" i="8"/>
  <c r="N33" i="6"/>
  <c r="N25" i="6"/>
  <c r="N18" i="6"/>
  <c r="N17" i="6" s="1"/>
  <c r="N15" i="6"/>
  <c r="N10" i="6"/>
  <c r="N32" i="3"/>
  <c r="N25" i="3"/>
  <c r="N18" i="3"/>
  <c r="N17" i="3" s="1"/>
  <c r="N15" i="3"/>
  <c r="N10" i="3"/>
  <c r="N32" i="2"/>
  <c r="N19" i="2"/>
  <c r="N17" i="2"/>
  <c r="N43" i="1"/>
  <c r="N34" i="1"/>
  <c r="N16" i="1"/>
  <c r="N24" i="3" l="1"/>
  <c r="N24" i="6"/>
  <c r="H53" i="9"/>
  <c r="H41" i="6"/>
  <c r="I41" i="3"/>
  <c r="H41" i="3"/>
  <c r="D38" i="3" l="1"/>
  <c r="D26" i="7"/>
  <c r="D39" i="8"/>
  <c r="K26" i="7"/>
  <c r="K25" i="7" s="1"/>
  <c r="K11" i="7"/>
  <c r="N34" i="7" l="1"/>
  <c r="N33" i="8"/>
  <c r="N25" i="8" s="1"/>
  <c r="N35" i="2"/>
  <c r="G54" i="9" l="1"/>
  <c r="G19" i="7"/>
  <c r="G18" i="7" s="1"/>
  <c r="D51" i="1"/>
  <c r="D52" i="9" s="1"/>
  <c r="D51" i="9"/>
  <c r="D37" i="1"/>
  <c r="M54" i="9"/>
  <c r="G52" i="9"/>
  <c r="M52" i="9"/>
  <c r="G34" i="7"/>
  <c r="G16" i="7"/>
  <c r="G11" i="7"/>
  <c r="G33" i="8"/>
  <c r="G26" i="8"/>
  <c r="G19" i="8"/>
  <c r="G18" i="8" s="1"/>
  <c r="G16" i="8"/>
  <c r="G11" i="8"/>
  <c r="G25" i="6"/>
  <c r="G18" i="6"/>
  <c r="G17" i="6" s="1"/>
  <c r="G15" i="6"/>
  <c r="G10" i="6"/>
  <c r="G32" i="3"/>
  <c r="G25" i="3"/>
  <c r="G17" i="3"/>
  <c r="G15" i="3"/>
  <c r="G10" i="3"/>
  <c r="G34" i="1"/>
  <c r="G26" i="1"/>
  <c r="G16" i="1"/>
  <c r="G11" i="1"/>
  <c r="K48" i="9"/>
  <c r="G24" i="3" l="1"/>
  <c r="G25" i="8"/>
  <c r="G25" i="1"/>
  <c r="G25" i="7"/>
  <c r="G24" i="6"/>
  <c r="N52" i="9"/>
  <c r="N48" i="9"/>
  <c r="N25" i="7"/>
  <c r="R11" i="9" l="1"/>
  <c r="Q11" i="9"/>
  <c r="P11" i="9"/>
  <c r="P19" i="7"/>
  <c r="R19" i="7"/>
  <c r="P19" i="8"/>
  <c r="P18" i="8" s="1"/>
  <c r="P16" i="8"/>
  <c r="P11" i="8"/>
  <c r="P18" i="6"/>
  <c r="P17" i="6" s="1"/>
  <c r="P15" i="6"/>
  <c r="P10" i="6"/>
  <c r="P18" i="3"/>
  <c r="P17" i="3" s="1"/>
  <c r="P15" i="3"/>
  <c r="P10" i="3"/>
  <c r="P26" i="2"/>
  <c r="P20" i="2"/>
  <c r="P19" i="2" s="1"/>
  <c r="P17" i="2"/>
  <c r="P12" i="2"/>
  <c r="P28" i="1"/>
  <c r="P26" i="1" s="1"/>
  <c r="P16" i="1"/>
  <c r="P11" i="1"/>
  <c r="N40" i="2" l="1"/>
  <c r="H41" i="8" l="1"/>
  <c r="C20" i="2" l="1"/>
  <c r="C30" i="1"/>
  <c r="D11" i="9"/>
  <c r="K26" i="2" l="1"/>
  <c r="K25" i="2" l="1"/>
  <c r="D29" i="8" l="1"/>
  <c r="G6" i="2" l="1"/>
  <c r="E11" i="2"/>
  <c r="I11" i="2" s="1"/>
  <c r="H11" i="2"/>
  <c r="L11" i="2" s="1"/>
  <c r="M6" i="2"/>
  <c r="O51" i="1" l="1"/>
  <c r="O10" i="1" l="1"/>
  <c r="O9" i="1"/>
  <c r="N11" i="9"/>
  <c r="O11" i="9" s="1"/>
  <c r="C11" i="9"/>
  <c r="E10" i="2"/>
  <c r="C10" i="9"/>
  <c r="N6" i="7"/>
  <c r="K6" i="7"/>
  <c r="D6" i="7"/>
  <c r="C6" i="7"/>
  <c r="O10" i="7"/>
  <c r="L10" i="7"/>
  <c r="I10" i="7"/>
  <c r="H10" i="7"/>
  <c r="E10" i="7"/>
  <c r="N5" i="1"/>
  <c r="M5" i="1"/>
  <c r="K5" i="1"/>
  <c r="G5" i="1"/>
  <c r="C5" i="1"/>
  <c r="D5" i="1"/>
  <c r="H10" i="1"/>
  <c r="L10" i="1" s="1"/>
  <c r="E10" i="1"/>
  <c r="I10" i="1" s="1"/>
  <c r="E9" i="1"/>
  <c r="O10" i="2"/>
  <c r="K26" i="1"/>
  <c r="K25" i="1" s="1"/>
  <c r="N11" i="7"/>
  <c r="D48" i="9"/>
  <c r="N5" i="7" l="1"/>
  <c r="N38" i="7" s="1"/>
  <c r="N39" i="7" s="1"/>
  <c r="H11" i="9"/>
  <c r="L11" i="9" s="1"/>
  <c r="E11" i="9"/>
  <c r="I11" i="9" l="1"/>
  <c r="K34" i="9"/>
  <c r="N34" i="9" l="1"/>
  <c r="G51" i="9"/>
  <c r="C52" i="9"/>
  <c r="C51" i="9"/>
  <c r="O41" i="8"/>
  <c r="L41" i="8"/>
  <c r="E41" i="8"/>
  <c r="I41" i="8" s="1"/>
  <c r="O40" i="3"/>
  <c r="H40" i="3"/>
  <c r="L40" i="3" s="1"/>
  <c r="E40" i="3"/>
  <c r="I40" i="3" l="1"/>
  <c r="O37" i="7"/>
  <c r="H37" i="7"/>
  <c r="L37" i="7" s="1"/>
  <c r="O36" i="6"/>
  <c r="L36" i="6"/>
  <c r="H36" i="6"/>
  <c r="O35" i="3"/>
  <c r="L35" i="3"/>
  <c r="H35" i="3"/>
  <c r="G48" i="9"/>
  <c r="M48" i="9"/>
  <c r="O36" i="8" l="1"/>
  <c r="H36" i="8"/>
  <c r="L36" i="8" s="1"/>
  <c r="G40" i="2" l="1"/>
  <c r="G35" i="2"/>
  <c r="G32" i="2"/>
  <c r="G26" i="2"/>
  <c r="G20" i="2"/>
  <c r="G19" i="2" s="1"/>
  <c r="G17" i="2"/>
  <c r="G12" i="2"/>
  <c r="K12" i="2"/>
  <c r="K11" i="1"/>
  <c r="D10" i="9"/>
  <c r="E10" i="9" s="1"/>
  <c r="G10" i="9"/>
  <c r="K10" i="9"/>
  <c r="N10" i="9"/>
  <c r="M10" i="9"/>
  <c r="I10" i="2"/>
  <c r="H10" i="2"/>
  <c r="L10" i="2" s="1"/>
  <c r="N6" i="2"/>
  <c r="I9" i="1"/>
  <c r="H9" i="1"/>
  <c r="L9" i="1" s="1"/>
  <c r="O10" i="9" l="1"/>
  <c r="G25" i="2"/>
  <c r="H10" i="9"/>
  <c r="I10" i="9" s="1"/>
  <c r="M34" i="7"/>
  <c r="F34" i="7"/>
  <c r="D34" i="7"/>
  <c r="C34" i="7"/>
  <c r="E37" i="7"/>
  <c r="I37" i="7" s="1"/>
  <c r="C19" i="7"/>
  <c r="C18" i="7" s="1"/>
  <c r="C16" i="7"/>
  <c r="C11" i="7"/>
  <c r="M33" i="8"/>
  <c r="F33" i="8"/>
  <c r="D33" i="8"/>
  <c r="E36" i="8"/>
  <c r="I36" i="8" s="1"/>
  <c r="C33" i="8"/>
  <c r="C19" i="8"/>
  <c r="C18" i="8" s="1"/>
  <c r="C16" i="8"/>
  <c r="C11" i="8"/>
  <c r="D33" i="6"/>
  <c r="E36" i="6"/>
  <c r="I36" i="6" s="1"/>
  <c r="C33" i="6"/>
  <c r="L10" i="9" l="1"/>
  <c r="C18" i="6"/>
  <c r="C17" i="6" s="1"/>
  <c r="C15" i="6"/>
  <c r="C10" i="6"/>
  <c r="M32" i="3"/>
  <c r="D32" i="3"/>
  <c r="E35" i="3"/>
  <c r="I35" i="3" s="1"/>
  <c r="C32" i="3"/>
  <c r="R18" i="8"/>
  <c r="R16" i="8"/>
  <c r="R11" i="8"/>
  <c r="N12" i="2" l="1"/>
  <c r="N11" i="1"/>
  <c r="H20" i="3" l="1"/>
  <c r="N26" i="2"/>
  <c r="N25" i="2" s="1"/>
  <c r="H52" i="1"/>
  <c r="H8" i="1"/>
  <c r="L8" i="1" s="1"/>
  <c r="O16" i="7"/>
  <c r="O50" i="9"/>
  <c r="Q35" i="9"/>
  <c r="R35" i="9"/>
  <c r="M10" i="6"/>
  <c r="N26" i="1"/>
  <c r="E51" i="9"/>
  <c r="G34" i="9"/>
  <c r="M34" i="9"/>
  <c r="M40" i="2"/>
  <c r="O46" i="1"/>
  <c r="H46" i="1"/>
  <c r="L46" i="1" s="1"/>
  <c r="H43" i="2"/>
  <c r="D40" i="2"/>
  <c r="K7" i="9"/>
  <c r="K8" i="9"/>
  <c r="K9" i="9"/>
  <c r="K13" i="9"/>
  <c r="K14" i="9"/>
  <c r="K15" i="9"/>
  <c r="K16" i="9"/>
  <c r="L16" i="9" s="1"/>
  <c r="K18" i="9"/>
  <c r="K19" i="9"/>
  <c r="K20" i="9"/>
  <c r="K21" i="9"/>
  <c r="K22" i="9"/>
  <c r="K24" i="9"/>
  <c r="K25" i="9"/>
  <c r="K27" i="9"/>
  <c r="K28" i="9"/>
  <c r="L28" i="9" s="1"/>
  <c r="K31" i="9"/>
  <c r="L31" i="9" s="1"/>
  <c r="K33" i="9"/>
  <c r="K35" i="9"/>
  <c r="K36" i="9"/>
  <c r="K38" i="9"/>
  <c r="K39" i="9"/>
  <c r="K40" i="9"/>
  <c r="K43" i="9"/>
  <c r="K44" i="9"/>
  <c r="K46" i="9"/>
  <c r="P18" i="7"/>
  <c r="P16" i="7"/>
  <c r="P11" i="7"/>
  <c r="O52" i="9"/>
  <c r="H32" i="1"/>
  <c r="L32" i="1" s="1"/>
  <c r="E46" i="1"/>
  <c r="C18" i="3"/>
  <c r="C26" i="9" s="1"/>
  <c r="C34" i="9"/>
  <c r="O43" i="1"/>
  <c r="F43" i="1"/>
  <c r="D43" i="1"/>
  <c r="C43" i="1"/>
  <c r="L54" i="9"/>
  <c r="C40" i="2"/>
  <c r="C35" i="2"/>
  <c r="C32" i="2"/>
  <c r="C26" i="2"/>
  <c r="C19" i="2"/>
  <c r="C17" i="2"/>
  <c r="C12" i="2"/>
  <c r="L15" i="6"/>
  <c r="P35" i="9"/>
  <c r="D34" i="9"/>
  <c r="O31" i="1"/>
  <c r="H31" i="1"/>
  <c r="L31" i="1" s="1"/>
  <c r="E31" i="1"/>
  <c r="D21" i="9"/>
  <c r="R18" i="7"/>
  <c r="R16" i="7"/>
  <c r="R11" i="7"/>
  <c r="R17" i="6"/>
  <c r="R15" i="6"/>
  <c r="R10" i="6"/>
  <c r="R17" i="3"/>
  <c r="R15" i="3"/>
  <c r="R10" i="3"/>
  <c r="R26" i="2"/>
  <c r="R19" i="2"/>
  <c r="R17" i="2"/>
  <c r="R12" i="2"/>
  <c r="R26" i="1"/>
  <c r="R16" i="1"/>
  <c r="R4" i="1" s="1"/>
  <c r="R11" i="1"/>
  <c r="E49" i="1"/>
  <c r="D54" i="9"/>
  <c r="E54" i="9" s="1"/>
  <c r="E23" i="1"/>
  <c r="H21" i="7"/>
  <c r="L21" i="7" s="1"/>
  <c r="H20" i="7"/>
  <c r="L20" i="7" s="1"/>
  <c r="E21" i="2"/>
  <c r="H6" i="1"/>
  <c r="M14" i="9"/>
  <c r="M15" i="9"/>
  <c r="M16" i="9"/>
  <c r="M13" i="9"/>
  <c r="M16" i="1"/>
  <c r="E30" i="7"/>
  <c r="M12" i="2"/>
  <c r="O12" i="2" s="1"/>
  <c r="O38" i="1"/>
  <c r="E7" i="7"/>
  <c r="H29" i="2"/>
  <c r="E39" i="6"/>
  <c r="M34" i="1"/>
  <c r="O34" i="1" s="1"/>
  <c r="H48" i="2"/>
  <c r="E48" i="2"/>
  <c r="I48" i="2" s="1"/>
  <c r="M15" i="6"/>
  <c r="M18" i="6"/>
  <c r="M17" i="6" s="1"/>
  <c r="M25" i="6"/>
  <c r="O25" i="6" s="1"/>
  <c r="O33" i="6"/>
  <c r="M10" i="3"/>
  <c r="M15" i="3"/>
  <c r="M18" i="3"/>
  <c r="M17" i="3" s="1"/>
  <c r="M25" i="3"/>
  <c r="M24" i="3" s="1"/>
  <c r="M26" i="2"/>
  <c r="F26" i="2"/>
  <c r="J26" i="2"/>
  <c r="D26" i="2"/>
  <c r="E29" i="2"/>
  <c r="K5" i="7"/>
  <c r="K38" i="7" s="1"/>
  <c r="K39" i="7" s="1"/>
  <c r="F6" i="7"/>
  <c r="R5" i="8"/>
  <c r="P5" i="8"/>
  <c r="F6" i="8"/>
  <c r="J6" i="8" s="1"/>
  <c r="D6" i="8"/>
  <c r="C6" i="8"/>
  <c r="R6" i="6"/>
  <c r="P6" i="6"/>
  <c r="N6" i="6"/>
  <c r="M6" i="6"/>
  <c r="O6" i="6" s="1"/>
  <c r="K6" i="6"/>
  <c r="K5" i="6" s="1"/>
  <c r="K37" i="6" s="1"/>
  <c r="K38" i="6" s="1"/>
  <c r="G6" i="6"/>
  <c r="D6" i="6"/>
  <c r="C6" i="6"/>
  <c r="R6" i="3"/>
  <c r="P6" i="3"/>
  <c r="N6" i="3"/>
  <c r="M6" i="3"/>
  <c r="O6" i="3" s="1"/>
  <c r="K6" i="3"/>
  <c r="K5" i="3" s="1"/>
  <c r="K36" i="3" s="1"/>
  <c r="K37" i="3" s="1"/>
  <c r="G6" i="3"/>
  <c r="D6" i="3"/>
  <c r="C6" i="3"/>
  <c r="E38" i="3"/>
  <c r="E49" i="2"/>
  <c r="E51" i="1"/>
  <c r="R21" i="9"/>
  <c r="R28" i="9"/>
  <c r="D39" i="9"/>
  <c r="O15" i="6"/>
  <c r="D35" i="9"/>
  <c r="M19" i="2"/>
  <c r="P33" i="9"/>
  <c r="P26" i="8"/>
  <c r="R26" i="8"/>
  <c r="Q7" i="9"/>
  <c r="Q8" i="9"/>
  <c r="Q9" i="9"/>
  <c r="Q13" i="9"/>
  <c r="Q14" i="9"/>
  <c r="Q15" i="9"/>
  <c r="Q16" i="9"/>
  <c r="Q18" i="9"/>
  <c r="Q19" i="9"/>
  <c r="Q20" i="9"/>
  <c r="Q21" i="9"/>
  <c r="Q22" i="9"/>
  <c r="Q24" i="9"/>
  <c r="Q25" i="9"/>
  <c r="Q28" i="9"/>
  <c r="Q33" i="9"/>
  <c r="M22" i="9"/>
  <c r="M21" i="9"/>
  <c r="M20" i="9"/>
  <c r="E35" i="1"/>
  <c r="D19" i="9"/>
  <c r="H51" i="1"/>
  <c r="L51" i="1" s="1"/>
  <c r="H49" i="2"/>
  <c r="N39" i="9"/>
  <c r="C39" i="9"/>
  <c r="R35" i="2"/>
  <c r="P35" i="2"/>
  <c r="P25" i="2" s="1"/>
  <c r="M35" i="2"/>
  <c r="O35" i="2" s="1"/>
  <c r="D35" i="2"/>
  <c r="O33" i="2"/>
  <c r="R32" i="2"/>
  <c r="P32" i="2"/>
  <c r="M32" i="2"/>
  <c r="O32" i="2" s="1"/>
  <c r="D32" i="2"/>
  <c r="N43" i="9"/>
  <c r="M43" i="9"/>
  <c r="G43" i="9"/>
  <c r="D43" i="9"/>
  <c r="C43" i="9"/>
  <c r="C41" i="9" s="1"/>
  <c r="O38" i="2"/>
  <c r="H38" i="2"/>
  <c r="L38" i="2" s="1"/>
  <c r="J38" i="2"/>
  <c r="E38" i="2"/>
  <c r="I38" i="2" s="1"/>
  <c r="D38" i="9"/>
  <c r="H49" i="1"/>
  <c r="M39" i="9"/>
  <c r="G39" i="9"/>
  <c r="H33" i="2"/>
  <c r="E33" i="2"/>
  <c r="D44" i="9"/>
  <c r="M26" i="1"/>
  <c r="O26" i="1" s="1"/>
  <c r="O53" i="1"/>
  <c r="E39" i="2"/>
  <c r="E37" i="2"/>
  <c r="E28" i="3"/>
  <c r="H7" i="2"/>
  <c r="L7" i="2" s="1"/>
  <c r="M36" i="9"/>
  <c r="E29" i="8"/>
  <c r="I29" i="8" s="1"/>
  <c r="M19" i="8"/>
  <c r="M18" i="8" s="1"/>
  <c r="G13" i="9"/>
  <c r="G14" i="9"/>
  <c r="G15" i="9"/>
  <c r="G16" i="9"/>
  <c r="G18" i="9"/>
  <c r="G19" i="9"/>
  <c r="G20" i="9"/>
  <c r="G22" i="9"/>
  <c r="G24" i="9"/>
  <c r="G25" i="9"/>
  <c r="G27" i="9"/>
  <c r="G33" i="9"/>
  <c r="G35" i="9"/>
  <c r="G36" i="9"/>
  <c r="G38" i="9"/>
  <c r="F17" i="1"/>
  <c r="F18" i="9" s="1"/>
  <c r="F22" i="1"/>
  <c r="F25" i="9" s="1"/>
  <c r="F19" i="1"/>
  <c r="F20" i="9" s="1"/>
  <c r="F18" i="1"/>
  <c r="F19" i="9" s="1"/>
  <c r="F6" i="1"/>
  <c r="F7" i="9" s="1"/>
  <c r="C7" i="9"/>
  <c r="M7" i="9"/>
  <c r="N7" i="9"/>
  <c r="P7" i="9"/>
  <c r="R7" i="9"/>
  <c r="C8" i="9"/>
  <c r="D8" i="9"/>
  <c r="G8" i="9"/>
  <c r="M8" i="9"/>
  <c r="N8" i="9"/>
  <c r="P8" i="9"/>
  <c r="R8" i="9"/>
  <c r="C9" i="9"/>
  <c r="D9" i="9"/>
  <c r="G9" i="9"/>
  <c r="M9" i="9"/>
  <c r="N9" i="9"/>
  <c r="P9" i="9"/>
  <c r="R9" i="9"/>
  <c r="C13" i="9"/>
  <c r="D13" i="9"/>
  <c r="F13" i="9"/>
  <c r="J13" i="9" s="1"/>
  <c r="N13" i="9"/>
  <c r="P13" i="9"/>
  <c r="R13" i="9"/>
  <c r="C14" i="9"/>
  <c r="D14" i="9"/>
  <c r="F14" i="9"/>
  <c r="J14" i="9" s="1"/>
  <c r="N14" i="9"/>
  <c r="P14" i="9"/>
  <c r="R14" i="9"/>
  <c r="C15" i="9"/>
  <c r="D15" i="9"/>
  <c r="F15" i="9"/>
  <c r="J15" i="9" s="1"/>
  <c r="N15" i="9"/>
  <c r="P15" i="9"/>
  <c r="R15" i="9"/>
  <c r="C16" i="9"/>
  <c r="D16" i="9"/>
  <c r="F16" i="9"/>
  <c r="J16" i="9" s="1"/>
  <c r="N16" i="9"/>
  <c r="O16" i="9" s="1"/>
  <c r="P16" i="9"/>
  <c r="R16" i="9"/>
  <c r="C18" i="9"/>
  <c r="D18" i="9"/>
  <c r="M18" i="9"/>
  <c r="N18" i="9"/>
  <c r="P18" i="9"/>
  <c r="R18" i="9"/>
  <c r="C19" i="9"/>
  <c r="M19" i="9"/>
  <c r="H19" i="9" s="1"/>
  <c r="N19" i="9"/>
  <c r="P19" i="9"/>
  <c r="R19" i="9"/>
  <c r="C20" i="9"/>
  <c r="D20" i="9"/>
  <c r="N20" i="9"/>
  <c r="P20" i="9"/>
  <c r="R20" i="9"/>
  <c r="C21" i="9"/>
  <c r="G21" i="9"/>
  <c r="N21" i="9"/>
  <c r="P21" i="9"/>
  <c r="C22" i="9"/>
  <c r="D22" i="9"/>
  <c r="N22" i="9"/>
  <c r="P22" i="9"/>
  <c r="R22" i="9"/>
  <c r="C24" i="9"/>
  <c r="D24" i="9"/>
  <c r="F24" i="9"/>
  <c r="J24" i="9" s="1"/>
  <c r="M24" i="9"/>
  <c r="N24" i="9"/>
  <c r="P24" i="9"/>
  <c r="R24" i="9"/>
  <c r="C25" i="9"/>
  <c r="D25" i="9"/>
  <c r="M25" i="9"/>
  <c r="N25" i="9"/>
  <c r="P25" i="9"/>
  <c r="R25" i="9"/>
  <c r="C27" i="9"/>
  <c r="M27" i="9"/>
  <c r="N27" i="9"/>
  <c r="C28" i="9"/>
  <c r="D28" i="9"/>
  <c r="F28" i="9"/>
  <c r="J28" i="9" s="1"/>
  <c r="G28" i="9"/>
  <c r="M28" i="9"/>
  <c r="N28" i="9"/>
  <c r="O28" i="9" s="1"/>
  <c r="P28" i="9"/>
  <c r="C31" i="9"/>
  <c r="D31" i="9"/>
  <c r="F31" i="9"/>
  <c r="J31" i="9" s="1"/>
  <c r="G31" i="9"/>
  <c r="H31" i="9" s="1"/>
  <c r="M31" i="9"/>
  <c r="N31" i="9"/>
  <c r="O31" i="9" s="1"/>
  <c r="R32" i="9"/>
  <c r="C33" i="9"/>
  <c r="D33" i="9"/>
  <c r="M33" i="9"/>
  <c r="N33" i="9"/>
  <c r="R33" i="9"/>
  <c r="F34" i="9"/>
  <c r="J34" i="9" s="1"/>
  <c r="C35" i="9"/>
  <c r="F35" i="9"/>
  <c r="J35" i="9" s="1"/>
  <c r="M35" i="9"/>
  <c r="N35" i="9"/>
  <c r="C36" i="9"/>
  <c r="D36" i="9"/>
  <c r="N36" i="9"/>
  <c r="P37" i="9"/>
  <c r="Q37" i="9"/>
  <c r="R37" i="9"/>
  <c r="C38" i="9"/>
  <c r="M38" i="9"/>
  <c r="N38" i="9"/>
  <c r="C40" i="9"/>
  <c r="F40" i="9"/>
  <c r="J40" i="9" s="1"/>
  <c r="G40" i="9"/>
  <c r="M40" i="9"/>
  <c r="N40" i="9"/>
  <c r="J42" i="9"/>
  <c r="F43" i="9"/>
  <c r="J43" i="9" s="1"/>
  <c r="C44" i="9"/>
  <c r="G44" i="9"/>
  <c r="M44" i="9"/>
  <c r="N44" i="9"/>
  <c r="P45" i="9"/>
  <c r="Q45" i="9"/>
  <c r="R45" i="9"/>
  <c r="E46" i="9"/>
  <c r="I46" i="9" s="1"/>
  <c r="G46" i="9"/>
  <c r="J46" i="9"/>
  <c r="M46" i="9"/>
  <c r="N46" i="9"/>
  <c r="C47" i="9"/>
  <c r="C45" i="9" s="1"/>
  <c r="D47" i="9"/>
  <c r="D45" i="9" s="1"/>
  <c r="F47" i="9"/>
  <c r="F45" i="9" s="1"/>
  <c r="J45" i="9" s="1"/>
  <c r="G47" i="9"/>
  <c r="M47" i="9"/>
  <c r="F52" i="9"/>
  <c r="J52" i="9" s="1"/>
  <c r="J6" i="7"/>
  <c r="H7" i="7"/>
  <c r="J7" i="7"/>
  <c r="O7" i="7"/>
  <c r="E8" i="7"/>
  <c r="I8" i="7" s="1"/>
  <c r="H8" i="7"/>
  <c r="J8" i="7"/>
  <c r="L8" i="7"/>
  <c r="O8" i="7"/>
  <c r="E9" i="7"/>
  <c r="I9" i="7" s="1"/>
  <c r="H9" i="7"/>
  <c r="L9" i="7"/>
  <c r="J9" i="7"/>
  <c r="O9" i="7"/>
  <c r="D11" i="7"/>
  <c r="F11" i="7"/>
  <c r="J11" i="7" s="1"/>
  <c r="M11" i="7"/>
  <c r="O11" i="7" s="1"/>
  <c r="E12" i="7"/>
  <c r="H12" i="7"/>
  <c r="L12" i="7" s="1"/>
  <c r="J12" i="7"/>
  <c r="O12" i="7"/>
  <c r="E13" i="7"/>
  <c r="H13" i="7"/>
  <c r="L13" i="7" s="1"/>
  <c r="J13" i="7"/>
  <c r="O13" i="7"/>
  <c r="E14" i="7"/>
  <c r="H14" i="7"/>
  <c r="L14" i="7" s="1"/>
  <c r="J14" i="7"/>
  <c r="O14" i="7"/>
  <c r="E15" i="7"/>
  <c r="H15" i="7"/>
  <c r="J15" i="7"/>
  <c r="L15" i="7"/>
  <c r="O15" i="7"/>
  <c r="D16" i="7"/>
  <c r="F16" i="7"/>
  <c r="J16" i="7" s="1"/>
  <c r="M16" i="7"/>
  <c r="E17" i="7"/>
  <c r="E16" i="7" s="1"/>
  <c r="H17" i="7"/>
  <c r="H16" i="7" s="1"/>
  <c r="J17" i="7"/>
  <c r="O17" i="7"/>
  <c r="D19" i="7"/>
  <c r="D18" i="7" s="1"/>
  <c r="F19" i="7"/>
  <c r="J19" i="7" s="1"/>
  <c r="M19" i="7"/>
  <c r="M18" i="7" s="1"/>
  <c r="E20" i="7"/>
  <c r="J20" i="7"/>
  <c r="O20" i="7"/>
  <c r="E21" i="7"/>
  <c r="J21" i="7"/>
  <c r="O21" i="7"/>
  <c r="E22" i="7"/>
  <c r="H22" i="7"/>
  <c r="L22" i="7" s="1"/>
  <c r="J22" i="7"/>
  <c r="O22" i="7"/>
  <c r="E23" i="7"/>
  <c r="H23" i="7"/>
  <c r="L23" i="7" s="1"/>
  <c r="J23" i="7"/>
  <c r="O23" i="7"/>
  <c r="E24" i="7"/>
  <c r="I24" i="7" s="1"/>
  <c r="H24" i="7"/>
  <c r="J24" i="7"/>
  <c r="L24" i="7"/>
  <c r="O24" i="7"/>
  <c r="C25" i="7"/>
  <c r="J26" i="7"/>
  <c r="O26" i="7"/>
  <c r="P26" i="7"/>
  <c r="R26" i="7"/>
  <c r="E27" i="7"/>
  <c r="H27" i="7"/>
  <c r="L27" i="7"/>
  <c r="J27" i="7"/>
  <c r="O27" i="7"/>
  <c r="E29" i="7"/>
  <c r="H29" i="7"/>
  <c r="J29" i="7"/>
  <c r="O29" i="7"/>
  <c r="H30" i="7"/>
  <c r="L30" i="7" s="1"/>
  <c r="J30" i="7"/>
  <c r="O30" i="7"/>
  <c r="E31" i="7"/>
  <c r="I31" i="7" s="1"/>
  <c r="H31" i="7"/>
  <c r="J31" i="7"/>
  <c r="L31" i="7"/>
  <c r="O31" i="7"/>
  <c r="E32" i="7"/>
  <c r="I32" i="7" s="1"/>
  <c r="H32" i="7"/>
  <c r="J32" i="7"/>
  <c r="L32" i="7"/>
  <c r="O32" i="7"/>
  <c r="E33" i="7"/>
  <c r="I33" i="7" s="1"/>
  <c r="H33" i="7"/>
  <c r="L33" i="7"/>
  <c r="J33" i="7"/>
  <c r="O33" i="7"/>
  <c r="J34" i="7"/>
  <c r="O34" i="7"/>
  <c r="P34" i="7"/>
  <c r="R34" i="7"/>
  <c r="R25" i="7" s="1"/>
  <c r="E35" i="7"/>
  <c r="I35" i="7" s="1"/>
  <c r="H35" i="7"/>
  <c r="L35" i="7"/>
  <c r="J35" i="7"/>
  <c r="O35" i="7"/>
  <c r="E36" i="7"/>
  <c r="I36" i="7" s="1"/>
  <c r="H36" i="7"/>
  <c r="L36" i="7" s="1"/>
  <c r="J36" i="7"/>
  <c r="O36" i="7"/>
  <c r="E40" i="7"/>
  <c r="H40" i="7"/>
  <c r="L40" i="7" s="1"/>
  <c r="J40" i="7"/>
  <c r="O40" i="7"/>
  <c r="E41" i="7"/>
  <c r="I41" i="7" s="1"/>
  <c r="H41" i="7"/>
  <c r="J41" i="7"/>
  <c r="O41" i="7"/>
  <c r="K6" i="8"/>
  <c r="K5" i="8" s="1"/>
  <c r="K37" i="8" s="1"/>
  <c r="K38" i="8" s="1"/>
  <c r="H7" i="8"/>
  <c r="J7" i="8"/>
  <c r="O7" i="8"/>
  <c r="E8" i="8"/>
  <c r="I8" i="8" s="1"/>
  <c r="H8" i="8"/>
  <c r="J8" i="8"/>
  <c r="O8" i="8"/>
  <c r="E9" i="8"/>
  <c r="H9" i="8"/>
  <c r="L9" i="8" s="1"/>
  <c r="J9" i="8"/>
  <c r="O9" i="8"/>
  <c r="D11" i="8"/>
  <c r="J11" i="8"/>
  <c r="M11" i="8"/>
  <c r="O11" i="8" s="1"/>
  <c r="E12" i="8"/>
  <c r="E11" i="8" s="1"/>
  <c r="H12" i="8"/>
  <c r="L12" i="8" s="1"/>
  <c r="J12" i="8"/>
  <c r="O12" i="8"/>
  <c r="E13" i="8"/>
  <c r="H13" i="8"/>
  <c r="L13" i="8" s="1"/>
  <c r="J13" i="8"/>
  <c r="O13" i="8"/>
  <c r="E14" i="8"/>
  <c r="H14" i="8"/>
  <c r="L14" i="8" s="1"/>
  <c r="J14" i="8"/>
  <c r="O14" i="8"/>
  <c r="E15" i="8"/>
  <c r="H15" i="8"/>
  <c r="I15" i="8" s="1"/>
  <c r="J15" i="8"/>
  <c r="L15" i="8"/>
  <c r="O15" i="8"/>
  <c r="D16" i="8"/>
  <c r="F16" i="8"/>
  <c r="J16" i="8" s="1"/>
  <c r="M16" i="8"/>
  <c r="E17" i="8"/>
  <c r="E16" i="8" s="1"/>
  <c r="H17" i="8"/>
  <c r="J17" i="8"/>
  <c r="O17" i="8"/>
  <c r="D19" i="8"/>
  <c r="D18" i="8" s="1"/>
  <c r="F19" i="8"/>
  <c r="F18" i="8" s="1"/>
  <c r="E20" i="8"/>
  <c r="H20" i="8"/>
  <c r="L20" i="8" s="1"/>
  <c r="J20" i="8"/>
  <c r="O20" i="8"/>
  <c r="E21" i="8"/>
  <c r="H21" i="8"/>
  <c r="L21" i="8" s="1"/>
  <c r="J21" i="8"/>
  <c r="O21" i="8"/>
  <c r="E22" i="8"/>
  <c r="H22" i="8"/>
  <c r="L22" i="8" s="1"/>
  <c r="J22" i="8"/>
  <c r="O22" i="8"/>
  <c r="E23" i="8"/>
  <c r="H23" i="8"/>
  <c r="L23" i="8" s="1"/>
  <c r="J23" i="8"/>
  <c r="O23" i="8"/>
  <c r="E24" i="8"/>
  <c r="I24" i="8" s="1"/>
  <c r="H24" i="8"/>
  <c r="J24" i="8"/>
  <c r="L24" i="8"/>
  <c r="O24" i="8"/>
  <c r="C26" i="8"/>
  <c r="C25" i="8" s="1"/>
  <c r="D26" i="8"/>
  <c r="D25" i="8" s="1"/>
  <c r="F26" i="8"/>
  <c r="J26" i="8" s="1"/>
  <c r="M26" i="8"/>
  <c r="O26" i="8" s="1"/>
  <c r="E27" i="8"/>
  <c r="I27" i="8" s="1"/>
  <c r="H27" i="8"/>
  <c r="L27" i="8"/>
  <c r="J27" i="8"/>
  <c r="O27" i="8"/>
  <c r="E28" i="8"/>
  <c r="H28" i="8"/>
  <c r="L28" i="8" s="1"/>
  <c r="J28" i="8"/>
  <c r="O28" i="8"/>
  <c r="H29" i="8"/>
  <c r="L29" i="8" s="1"/>
  <c r="J29" i="8"/>
  <c r="O29" i="8"/>
  <c r="E30" i="8"/>
  <c r="I30" i="8" s="1"/>
  <c r="H30" i="8"/>
  <c r="L30" i="8"/>
  <c r="J30" i="8"/>
  <c r="O30" i="8"/>
  <c r="E31" i="8"/>
  <c r="I31" i="8" s="1"/>
  <c r="H31" i="8"/>
  <c r="L31" i="8"/>
  <c r="J31" i="8"/>
  <c r="O31" i="8"/>
  <c r="E32" i="8"/>
  <c r="I32" i="8" s="1"/>
  <c r="H32" i="8"/>
  <c r="L32" i="8"/>
  <c r="J32" i="8"/>
  <c r="O32" i="8"/>
  <c r="J33" i="8"/>
  <c r="P33" i="8"/>
  <c r="R33" i="8"/>
  <c r="E34" i="8"/>
  <c r="I34" i="8" s="1"/>
  <c r="H34" i="8"/>
  <c r="L34" i="8"/>
  <c r="J34" i="8"/>
  <c r="O34" i="8"/>
  <c r="E35" i="8"/>
  <c r="I35" i="8" s="1"/>
  <c r="H35" i="8"/>
  <c r="L35" i="8"/>
  <c r="J35" i="8"/>
  <c r="O35" i="8"/>
  <c r="H39" i="8"/>
  <c r="L39" i="8" s="1"/>
  <c r="J39" i="8"/>
  <c r="O39" i="8"/>
  <c r="E40" i="8"/>
  <c r="I40" i="8" s="1"/>
  <c r="H40" i="8"/>
  <c r="L40" i="8" s="1"/>
  <c r="J40" i="8"/>
  <c r="O40" i="8"/>
  <c r="F6" i="6"/>
  <c r="J6" i="6" s="1"/>
  <c r="H7" i="6"/>
  <c r="L7" i="6" s="1"/>
  <c r="J7" i="6"/>
  <c r="O7" i="6"/>
  <c r="E8" i="6"/>
  <c r="I8" i="6" s="1"/>
  <c r="H8" i="6"/>
  <c r="L8" i="6"/>
  <c r="J8" i="6"/>
  <c r="O8" i="6"/>
  <c r="E9" i="6"/>
  <c r="I9" i="6" s="1"/>
  <c r="H9" i="6"/>
  <c r="L9" i="6" s="1"/>
  <c r="J9" i="6"/>
  <c r="O9" i="6"/>
  <c r="D10" i="6"/>
  <c r="J10" i="6"/>
  <c r="E11" i="6"/>
  <c r="H11" i="6"/>
  <c r="L11" i="6" s="1"/>
  <c r="O11" i="6"/>
  <c r="E12" i="6"/>
  <c r="H12" i="6"/>
  <c r="L12" i="6" s="1"/>
  <c r="O12" i="6"/>
  <c r="E13" i="6"/>
  <c r="H13" i="6"/>
  <c r="O13" i="6"/>
  <c r="E14" i="6"/>
  <c r="H14" i="6"/>
  <c r="L14" i="6"/>
  <c r="O14" i="6"/>
  <c r="D15" i="6"/>
  <c r="F15" i="6"/>
  <c r="J15" i="6" s="1"/>
  <c r="E16" i="6"/>
  <c r="E15" i="6" s="1"/>
  <c r="I15" i="6" s="1"/>
  <c r="H16" i="6"/>
  <c r="H15" i="6" s="1"/>
  <c r="J16" i="6"/>
  <c r="L16" i="6"/>
  <c r="O16" i="6"/>
  <c r="D18" i="6"/>
  <c r="D17" i="6" s="1"/>
  <c r="F18" i="6"/>
  <c r="F17" i="6"/>
  <c r="E19" i="6"/>
  <c r="H19" i="6"/>
  <c r="L19" i="6" s="1"/>
  <c r="J19" i="6"/>
  <c r="O19" i="6"/>
  <c r="E20" i="6"/>
  <c r="H20" i="6"/>
  <c r="H18" i="6" s="1"/>
  <c r="J20" i="6"/>
  <c r="O20" i="6"/>
  <c r="E21" i="6"/>
  <c r="H21" i="6"/>
  <c r="L21" i="6" s="1"/>
  <c r="J21" i="6"/>
  <c r="O21" i="6"/>
  <c r="E22" i="6"/>
  <c r="H22" i="6"/>
  <c r="L22" i="6" s="1"/>
  <c r="J22" i="6"/>
  <c r="O22" i="6"/>
  <c r="E23" i="6"/>
  <c r="I23" i="6" s="1"/>
  <c r="H23" i="6"/>
  <c r="J23" i="6"/>
  <c r="L23" i="6"/>
  <c r="O23" i="6"/>
  <c r="C25" i="6"/>
  <c r="D25" i="6"/>
  <c r="D24" i="6" s="1"/>
  <c r="F25" i="6"/>
  <c r="J25" i="6" s="1"/>
  <c r="P25" i="6"/>
  <c r="P24" i="6" s="1"/>
  <c r="R25" i="6"/>
  <c r="R24" i="6" s="1"/>
  <c r="E26" i="6"/>
  <c r="I26" i="6" s="1"/>
  <c r="H26" i="6"/>
  <c r="L26" i="6"/>
  <c r="J26" i="6"/>
  <c r="O26" i="6"/>
  <c r="E27" i="6"/>
  <c r="I27" i="6" s="1"/>
  <c r="H27" i="6"/>
  <c r="L27" i="6"/>
  <c r="J27" i="6"/>
  <c r="O27" i="6"/>
  <c r="E28" i="6"/>
  <c r="H28" i="6"/>
  <c r="J28" i="6"/>
  <c r="O28" i="6"/>
  <c r="E29" i="6"/>
  <c r="H29" i="6"/>
  <c r="L29" i="6" s="1"/>
  <c r="J29" i="6"/>
  <c r="O29" i="6"/>
  <c r="E30" i="6"/>
  <c r="H30" i="6"/>
  <c r="L30" i="6"/>
  <c r="O30" i="6"/>
  <c r="E31" i="6"/>
  <c r="H31" i="6"/>
  <c r="I31" i="6"/>
  <c r="J31" i="6"/>
  <c r="L31" i="6"/>
  <c r="O31" i="6"/>
  <c r="E32" i="6"/>
  <c r="I32" i="6" s="1"/>
  <c r="H32" i="6"/>
  <c r="J32" i="6"/>
  <c r="L32" i="6"/>
  <c r="O32" i="6"/>
  <c r="F33" i="6"/>
  <c r="J33" i="6" s="1"/>
  <c r="P33" i="6"/>
  <c r="R33" i="6"/>
  <c r="E34" i="6"/>
  <c r="I34" i="6" s="1"/>
  <c r="H34" i="6"/>
  <c r="J34" i="6"/>
  <c r="L34" i="6"/>
  <c r="O34" i="6"/>
  <c r="E35" i="6"/>
  <c r="I35" i="6" s="1"/>
  <c r="H35" i="6"/>
  <c r="J35" i="6"/>
  <c r="O35" i="6"/>
  <c r="H39" i="6"/>
  <c r="L39" i="6" s="1"/>
  <c r="J39" i="6"/>
  <c r="O39" i="6"/>
  <c r="E40" i="6"/>
  <c r="I40" i="6" s="1"/>
  <c r="H40" i="6"/>
  <c r="L40" i="6"/>
  <c r="O40" i="6"/>
  <c r="F6" i="3"/>
  <c r="J6" i="3" s="1"/>
  <c r="E7" i="3"/>
  <c r="H7" i="3"/>
  <c r="L7" i="3" s="1"/>
  <c r="J7" i="3"/>
  <c r="O7" i="3"/>
  <c r="E8" i="3"/>
  <c r="I8" i="3" s="1"/>
  <c r="H8" i="3"/>
  <c r="J8" i="3"/>
  <c r="L8" i="3"/>
  <c r="O8" i="3"/>
  <c r="E9" i="3"/>
  <c r="H9" i="3"/>
  <c r="L9" i="3" s="1"/>
  <c r="J9" i="3"/>
  <c r="O9" i="3"/>
  <c r="C10" i="3"/>
  <c r="D10" i="3"/>
  <c r="J10" i="3"/>
  <c r="E11" i="3"/>
  <c r="H11" i="3"/>
  <c r="L11" i="3" s="1"/>
  <c r="J11" i="3"/>
  <c r="O11" i="3"/>
  <c r="E12" i="3"/>
  <c r="H12" i="3"/>
  <c r="L12" i="3" s="1"/>
  <c r="J12" i="3"/>
  <c r="O12" i="3"/>
  <c r="E13" i="3"/>
  <c r="I13" i="3" s="1"/>
  <c r="H13" i="3"/>
  <c r="L13" i="3" s="1"/>
  <c r="J13" i="3"/>
  <c r="O13" i="3"/>
  <c r="E14" i="3"/>
  <c r="H14" i="3"/>
  <c r="J14" i="3"/>
  <c r="L14" i="3"/>
  <c r="O14" i="3"/>
  <c r="C15" i="3"/>
  <c r="D15" i="3"/>
  <c r="F16" i="3"/>
  <c r="F15" i="3" s="1"/>
  <c r="H16" i="3"/>
  <c r="H15" i="3" s="1"/>
  <c r="L15" i="3" s="1"/>
  <c r="O16" i="3"/>
  <c r="C17" i="3"/>
  <c r="D18" i="3"/>
  <c r="D17" i="3" s="1"/>
  <c r="F18" i="3"/>
  <c r="F17" i="3" s="1"/>
  <c r="J17" i="3" s="1"/>
  <c r="E19" i="3"/>
  <c r="H19" i="3"/>
  <c r="L19" i="3" s="1"/>
  <c r="J19" i="3"/>
  <c r="O19" i="3"/>
  <c r="E20" i="3"/>
  <c r="I20" i="3" s="1"/>
  <c r="L20" i="3"/>
  <c r="J20" i="3"/>
  <c r="O20" i="3"/>
  <c r="E21" i="3"/>
  <c r="H21" i="3"/>
  <c r="L21" i="3" s="1"/>
  <c r="J21" i="3"/>
  <c r="O21" i="3"/>
  <c r="E22" i="3"/>
  <c r="H22" i="3"/>
  <c r="L22" i="3" s="1"/>
  <c r="J22" i="3"/>
  <c r="O22" i="3"/>
  <c r="E23" i="3"/>
  <c r="I23" i="3" s="1"/>
  <c r="H23" i="3"/>
  <c r="J23" i="3"/>
  <c r="L23" i="3"/>
  <c r="O23" i="3"/>
  <c r="C25" i="3"/>
  <c r="C24" i="3" s="1"/>
  <c r="F25" i="3"/>
  <c r="J25" i="3" s="1"/>
  <c r="P25" i="3"/>
  <c r="P24" i="3" s="1"/>
  <c r="R25" i="3"/>
  <c r="R24" i="3" s="1"/>
  <c r="E26" i="3"/>
  <c r="H26" i="3"/>
  <c r="J26" i="3"/>
  <c r="O26" i="3"/>
  <c r="E27" i="3"/>
  <c r="H27" i="3"/>
  <c r="J27" i="3"/>
  <c r="O27" i="3"/>
  <c r="H28" i="3"/>
  <c r="L28" i="3" s="1"/>
  <c r="J28" i="3"/>
  <c r="O28" i="3"/>
  <c r="E29" i="3"/>
  <c r="I29" i="3" s="1"/>
  <c r="H29" i="3"/>
  <c r="L29" i="3"/>
  <c r="J29" i="3"/>
  <c r="O29" i="3"/>
  <c r="H30" i="3"/>
  <c r="I30" i="3"/>
  <c r="J30" i="3"/>
  <c r="L30" i="3"/>
  <c r="O30" i="3"/>
  <c r="E31" i="3"/>
  <c r="I31" i="3" s="1"/>
  <c r="H31" i="3"/>
  <c r="J31" i="3"/>
  <c r="L31" i="3"/>
  <c r="O31" i="3"/>
  <c r="F32" i="3"/>
  <c r="P32" i="3"/>
  <c r="R32" i="3"/>
  <c r="E33" i="3"/>
  <c r="H33" i="3"/>
  <c r="J33" i="3"/>
  <c r="L33" i="3"/>
  <c r="O33" i="3"/>
  <c r="E34" i="3"/>
  <c r="I34" i="3" s="1"/>
  <c r="H34" i="3"/>
  <c r="L34" i="3" s="1"/>
  <c r="J34" i="3"/>
  <c r="O34" i="3"/>
  <c r="H38" i="3"/>
  <c r="J38" i="3"/>
  <c r="E39" i="3"/>
  <c r="H39" i="3"/>
  <c r="L39" i="3" s="1"/>
  <c r="J39" i="3"/>
  <c r="O39" i="3"/>
  <c r="C6" i="2"/>
  <c r="D6" i="2"/>
  <c r="F6" i="2"/>
  <c r="J6" i="2" s="1"/>
  <c r="E7" i="2"/>
  <c r="J7" i="2"/>
  <c r="O7" i="2"/>
  <c r="E8" i="2"/>
  <c r="H8" i="2"/>
  <c r="L8" i="2" s="1"/>
  <c r="J8" i="2"/>
  <c r="O8" i="2"/>
  <c r="E9" i="2"/>
  <c r="H9" i="2"/>
  <c r="L9" i="2" s="1"/>
  <c r="J9" i="2"/>
  <c r="O9" i="2"/>
  <c r="D12" i="2"/>
  <c r="F12" i="2"/>
  <c r="J12" i="2" s="1"/>
  <c r="E13" i="2"/>
  <c r="H13" i="2"/>
  <c r="L13" i="2" s="1"/>
  <c r="J13" i="2"/>
  <c r="O13" i="2"/>
  <c r="E14" i="2"/>
  <c r="H14" i="2"/>
  <c r="L14" i="2" s="1"/>
  <c r="J14" i="2"/>
  <c r="O14" i="2"/>
  <c r="E15" i="2"/>
  <c r="H15" i="2"/>
  <c r="L15" i="2" s="1"/>
  <c r="J15" i="2"/>
  <c r="O15" i="2"/>
  <c r="E16" i="2"/>
  <c r="H16" i="2"/>
  <c r="J16" i="2"/>
  <c r="L16" i="2"/>
  <c r="O16" i="2"/>
  <c r="D17" i="2"/>
  <c r="F17" i="2"/>
  <c r="J17" i="2" s="1"/>
  <c r="M17" i="2"/>
  <c r="O17" i="2" s="1"/>
  <c r="E18" i="2"/>
  <c r="E17" i="2" s="1"/>
  <c r="H18" i="2"/>
  <c r="H17" i="2" s="1"/>
  <c r="L17" i="2" s="1"/>
  <c r="J18" i="2"/>
  <c r="O18" i="2"/>
  <c r="F20" i="2"/>
  <c r="F19" i="2" s="1"/>
  <c r="J19" i="2" s="1"/>
  <c r="H21" i="2"/>
  <c r="I21" i="2" s="1"/>
  <c r="J21" i="2"/>
  <c r="O21" i="2"/>
  <c r="H22" i="2"/>
  <c r="L22" i="2" s="1"/>
  <c r="J22" i="2"/>
  <c r="O22" i="2"/>
  <c r="E23" i="2"/>
  <c r="H23" i="2"/>
  <c r="L23" i="2" s="1"/>
  <c r="J23" i="2"/>
  <c r="O23" i="2"/>
  <c r="E24" i="2"/>
  <c r="I24" i="2" s="1"/>
  <c r="H24" i="2"/>
  <c r="J24" i="2"/>
  <c r="L24" i="2"/>
  <c r="O24" i="2"/>
  <c r="E27" i="2"/>
  <c r="H27" i="2"/>
  <c r="L27" i="2" s="1"/>
  <c r="J27" i="2"/>
  <c r="O27" i="2"/>
  <c r="E28" i="2"/>
  <c r="H28" i="2"/>
  <c r="L28" i="2" s="1"/>
  <c r="O28" i="2"/>
  <c r="E30" i="2"/>
  <c r="H30" i="2"/>
  <c r="L30" i="2" s="1"/>
  <c r="J30" i="2"/>
  <c r="O30" i="2"/>
  <c r="E31" i="2"/>
  <c r="I31" i="2" s="1"/>
  <c r="H31" i="2"/>
  <c r="L31" i="2"/>
  <c r="J31" i="2"/>
  <c r="O31" i="2"/>
  <c r="E34" i="2"/>
  <c r="I34" i="2" s="1"/>
  <c r="H34" i="2"/>
  <c r="J34" i="2"/>
  <c r="O34" i="2"/>
  <c r="E36" i="2"/>
  <c r="H36" i="2"/>
  <c r="L36" i="2" s="1"/>
  <c r="J36" i="2"/>
  <c r="O36" i="2"/>
  <c r="H37" i="2"/>
  <c r="J37" i="2"/>
  <c r="O37" i="2"/>
  <c r="H39" i="2"/>
  <c r="J39" i="2"/>
  <c r="O39" i="2"/>
  <c r="F40" i="2"/>
  <c r="J40" i="2" s="1"/>
  <c r="P40" i="2"/>
  <c r="R40" i="2"/>
  <c r="E41" i="2"/>
  <c r="I41" i="2" s="1"/>
  <c r="H41" i="2"/>
  <c r="J41" i="2"/>
  <c r="L41" i="2"/>
  <c r="O41" i="2"/>
  <c r="E42" i="2"/>
  <c r="H42" i="2"/>
  <c r="L42" i="2" s="1"/>
  <c r="J42" i="2"/>
  <c r="E46" i="2"/>
  <c r="H46" i="2"/>
  <c r="L46" i="2" s="1"/>
  <c r="J46" i="2"/>
  <c r="O46" i="2"/>
  <c r="E47" i="2"/>
  <c r="I47" i="2" s="1"/>
  <c r="H47" i="2"/>
  <c r="J47" i="2"/>
  <c r="O47" i="2"/>
  <c r="G4" i="1"/>
  <c r="P4" i="1"/>
  <c r="E6" i="1"/>
  <c r="O6" i="1"/>
  <c r="E7" i="1"/>
  <c r="F7" i="1"/>
  <c r="F8" i="9" s="1"/>
  <c r="H7" i="1"/>
  <c r="L7" i="1" s="1"/>
  <c r="O7" i="1"/>
  <c r="E8" i="1"/>
  <c r="I8" i="1" s="1"/>
  <c r="F8" i="1"/>
  <c r="F9" i="9" s="1"/>
  <c r="O8" i="1"/>
  <c r="C11" i="1"/>
  <c r="D11" i="1"/>
  <c r="F11" i="1"/>
  <c r="M11" i="1"/>
  <c r="O11" i="1" s="1"/>
  <c r="E12" i="1"/>
  <c r="H12" i="1"/>
  <c r="L12" i="1" s="1"/>
  <c r="J12" i="1"/>
  <c r="O12" i="1"/>
  <c r="E13" i="1"/>
  <c r="H13" i="1"/>
  <c r="L13" i="1" s="1"/>
  <c r="J13" i="1"/>
  <c r="O13" i="1"/>
  <c r="E14" i="1"/>
  <c r="H14" i="1"/>
  <c r="L14" i="1" s="1"/>
  <c r="J14" i="1"/>
  <c r="O14" i="1"/>
  <c r="E15" i="1"/>
  <c r="H15" i="1"/>
  <c r="J15" i="1"/>
  <c r="L15" i="1"/>
  <c r="O15" i="1"/>
  <c r="C16" i="1"/>
  <c r="E17" i="1"/>
  <c r="H17" i="1"/>
  <c r="O17" i="1"/>
  <c r="H18" i="1"/>
  <c r="O18" i="1"/>
  <c r="E19" i="1"/>
  <c r="H19" i="1"/>
  <c r="L19" i="1" s="1"/>
  <c r="O19" i="1"/>
  <c r="E20" i="1"/>
  <c r="F20" i="1"/>
  <c r="H20" i="1"/>
  <c r="L20" i="1" s="1"/>
  <c r="O20" i="1"/>
  <c r="E21" i="1"/>
  <c r="F21" i="1"/>
  <c r="F22" i="9" s="1"/>
  <c r="H21" i="1"/>
  <c r="L21" i="1" s="1"/>
  <c r="O21" i="1"/>
  <c r="E22" i="1"/>
  <c r="H22" i="1"/>
  <c r="J22" i="1" s="1"/>
  <c r="O22" i="1"/>
  <c r="F23" i="1"/>
  <c r="F27" i="9" s="1"/>
  <c r="H23" i="1"/>
  <c r="O23" i="1"/>
  <c r="E24" i="1"/>
  <c r="I24" i="1" s="1"/>
  <c r="H24" i="1"/>
  <c r="L24" i="1"/>
  <c r="J24" i="1"/>
  <c r="O24" i="1"/>
  <c r="C26" i="1"/>
  <c r="E27" i="1"/>
  <c r="I27" i="1" s="1"/>
  <c r="H27" i="1"/>
  <c r="L27" i="1"/>
  <c r="J27" i="1"/>
  <c r="O27" i="1"/>
  <c r="F28" i="1"/>
  <c r="F32" i="9" s="1"/>
  <c r="O28" i="1"/>
  <c r="E29" i="1"/>
  <c r="I29" i="1" s="1"/>
  <c r="J29" i="1"/>
  <c r="O29" i="1"/>
  <c r="E30" i="1"/>
  <c r="F30" i="1"/>
  <c r="F33" i="9" s="1"/>
  <c r="H30" i="1"/>
  <c r="O30" i="1"/>
  <c r="E32" i="1"/>
  <c r="I32" i="1" s="1"/>
  <c r="J32" i="1"/>
  <c r="O32" i="1"/>
  <c r="E33" i="1"/>
  <c r="F33" i="1"/>
  <c r="F36" i="9" s="1"/>
  <c r="H33" i="1"/>
  <c r="L33" i="1" s="1"/>
  <c r="O33" i="1"/>
  <c r="C34" i="1"/>
  <c r="P34" i="1"/>
  <c r="R34" i="1"/>
  <c r="F35" i="1"/>
  <c r="F38" i="9" s="1"/>
  <c r="H35" i="1"/>
  <c r="O35" i="1"/>
  <c r="E36" i="1"/>
  <c r="F36" i="1"/>
  <c r="F39" i="9" s="1"/>
  <c r="H36" i="1"/>
  <c r="O36" i="1"/>
  <c r="E37" i="1"/>
  <c r="H37" i="1"/>
  <c r="J37" i="1"/>
  <c r="O37" i="1"/>
  <c r="J38" i="1"/>
  <c r="P38" i="1"/>
  <c r="R38" i="1"/>
  <c r="E40" i="1"/>
  <c r="H40" i="1"/>
  <c r="J40" i="1"/>
  <c r="O40" i="1"/>
  <c r="E41" i="1"/>
  <c r="H41" i="1"/>
  <c r="J41" i="1"/>
  <c r="O41" i="1"/>
  <c r="E42" i="1"/>
  <c r="F42" i="1"/>
  <c r="F44" i="9" s="1"/>
  <c r="H42" i="1"/>
  <c r="O42" i="1"/>
  <c r="J43" i="1"/>
  <c r="P43" i="1"/>
  <c r="R43" i="1"/>
  <c r="E44" i="1"/>
  <c r="H44" i="1"/>
  <c r="L44" i="1" s="1"/>
  <c r="J44" i="1"/>
  <c r="O44" i="1"/>
  <c r="E45" i="1"/>
  <c r="I45" i="1" s="1"/>
  <c r="H45" i="1"/>
  <c r="J45" i="1"/>
  <c r="L45" i="1"/>
  <c r="O45" i="1"/>
  <c r="F49" i="1"/>
  <c r="F50" i="9" s="1"/>
  <c r="H50" i="1"/>
  <c r="L50" i="1" s="1"/>
  <c r="J50" i="1"/>
  <c r="O50" i="1"/>
  <c r="H53" i="1"/>
  <c r="L53" i="1"/>
  <c r="F25" i="7"/>
  <c r="J25" i="7" s="1"/>
  <c r="F18" i="7"/>
  <c r="J18" i="7" s="1"/>
  <c r="L8" i="8"/>
  <c r="L34" i="2"/>
  <c r="E7" i="8"/>
  <c r="E6" i="8" s="1"/>
  <c r="D7" i="9"/>
  <c r="E7" i="6"/>
  <c r="E28" i="1"/>
  <c r="D26" i="1"/>
  <c r="E18" i="1"/>
  <c r="D34" i="1"/>
  <c r="E50" i="1"/>
  <c r="D16" i="1"/>
  <c r="E39" i="8"/>
  <c r="H29" i="1"/>
  <c r="L29" i="1" s="1"/>
  <c r="H28" i="1"/>
  <c r="O33" i="8"/>
  <c r="O49" i="1"/>
  <c r="D25" i="3"/>
  <c r="D24" i="3" s="1"/>
  <c r="O38" i="3"/>
  <c r="N47" i="9"/>
  <c r="O42" i="2"/>
  <c r="L47" i="2"/>
  <c r="E35" i="2"/>
  <c r="O15" i="3"/>
  <c r="J18" i="6"/>
  <c r="E53" i="1"/>
  <c r="I53" i="1" s="1"/>
  <c r="D19" i="2"/>
  <c r="H54" i="9"/>
  <c r="D40" i="9"/>
  <c r="D25" i="7"/>
  <c r="M25" i="7"/>
  <c r="Q26" i="9"/>
  <c r="P32" i="9"/>
  <c r="E22" i="2"/>
  <c r="E20" i="2" s="1"/>
  <c r="E19" i="2" s="1"/>
  <c r="O16" i="8"/>
  <c r="E18" i="6"/>
  <c r="E17" i="6" s="1"/>
  <c r="I19" i="6"/>
  <c r="L17" i="7"/>
  <c r="C24" i="6"/>
  <c r="I29" i="6"/>
  <c r="I9" i="3"/>
  <c r="F24" i="6"/>
  <c r="J24" i="6" s="1"/>
  <c r="I16" i="6"/>
  <c r="L16" i="7"/>
  <c r="L6" i="1"/>
  <c r="I7" i="7"/>
  <c r="O19" i="8"/>
  <c r="O10" i="6"/>
  <c r="O10" i="3"/>
  <c r="N4" i="1"/>
  <c r="L16" i="3"/>
  <c r="H52" i="9"/>
  <c r="L52" i="9" s="1"/>
  <c r="D27" i="9"/>
  <c r="L41" i="7"/>
  <c r="L27" i="3"/>
  <c r="E52" i="9"/>
  <c r="K4" i="1"/>
  <c r="K47" i="1" s="1"/>
  <c r="L16" i="8"/>
  <c r="E16" i="3"/>
  <c r="E15" i="3" s="1"/>
  <c r="F5" i="1"/>
  <c r="E11" i="1"/>
  <c r="L49" i="1"/>
  <c r="C5" i="7"/>
  <c r="I17" i="7"/>
  <c r="K47" i="9"/>
  <c r="L35" i="6"/>
  <c r="H48" i="9"/>
  <c r="I43" i="2"/>
  <c r="Q32" i="9"/>
  <c r="H50" i="9"/>
  <c r="O18" i="6"/>
  <c r="L28" i="6"/>
  <c r="O51" i="9"/>
  <c r="O19" i="7"/>
  <c r="K26" i="9"/>
  <c r="O16" i="1"/>
  <c r="N26" i="9"/>
  <c r="H6" i="7" l="1"/>
  <c r="J19" i="8"/>
  <c r="M25" i="2"/>
  <c r="I31" i="1"/>
  <c r="I21" i="7"/>
  <c r="I50" i="1"/>
  <c r="I46" i="1"/>
  <c r="E19" i="8"/>
  <c r="E18" i="8" s="1"/>
  <c r="E5" i="8" s="1"/>
  <c r="P25" i="7"/>
  <c r="L21" i="2"/>
  <c r="J18" i="3"/>
  <c r="I13" i="2"/>
  <c r="I7" i="2"/>
  <c r="J49" i="1"/>
  <c r="H42" i="9"/>
  <c r="L42" i="9" s="1"/>
  <c r="E34" i="1"/>
  <c r="F24" i="3"/>
  <c r="J24" i="3" s="1"/>
  <c r="I28" i="8"/>
  <c r="P12" i="9"/>
  <c r="F26" i="9"/>
  <c r="J26" i="9" s="1"/>
  <c r="E32" i="3"/>
  <c r="F5" i="8"/>
  <c r="E38" i="1"/>
  <c r="E42" i="9"/>
  <c r="I51" i="1"/>
  <c r="J32" i="3"/>
  <c r="O25" i="3"/>
  <c r="F25" i="8"/>
  <c r="J25" i="8" s="1"/>
  <c r="I22" i="7"/>
  <c r="H32" i="9"/>
  <c r="J32" i="9" s="1"/>
  <c r="E32" i="9"/>
  <c r="J42" i="1"/>
  <c r="F21" i="9"/>
  <c r="F17" i="9" s="1"/>
  <c r="C5" i="3"/>
  <c r="I11" i="6"/>
  <c r="I27" i="7"/>
  <c r="E26" i="7"/>
  <c r="H38" i="9"/>
  <c r="J38" i="9" s="1"/>
  <c r="E32" i="2"/>
  <c r="I46" i="2"/>
  <c r="E27" i="9"/>
  <c r="I39" i="6"/>
  <c r="F5" i="7"/>
  <c r="F38" i="7" s="1"/>
  <c r="J20" i="2"/>
  <c r="E6" i="6"/>
  <c r="J30" i="1"/>
  <c r="I37" i="2"/>
  <c r="I30" i="6"/>
  <c r="H25" i="6"/>
  <c r="L25" i="6" s="1"/>
  <c r="I22" i="6"/>
  <c r="I21" i="6"/>
  <c r="I20" i="6"/>
  <c r="I13" i="6"/>
  <c r="P5" i="7"/>
  <c r="H26" i="1"/>
  <c r="L26" i="1" s="1"/>
  <c r="L29" i="7"/>
  <c r="H26" i="7"/>
  <c r="L26" i="7" s="1"/>
  <c r="L40" i="1"/>
  <c r="H38" i="1"/>
  <c r="I7" i="6"/>
  <c r="I27" i="2"/>
  <c r="E16" i="1"/>
  <c r="H43" i="1"/>
  <c r="L43" i="1" s="1"/>
  <c r="F5" i="6"/>
  <c r="J5" i="6" s="1"/>
  <c r="C25" i="1"/>
  <c r="D25" i="2"/>
  <c r="F25" i="2"/>
  <c r="J25" i="2" s="1"/>
  <c r="I14" i="2"/>
  <c r="C25" i="2"/>
  <c r="O20" i="2"/>
  <c r="I9" i="8"/>
  <c r="J17" i="6"/>
  <c r="F26" i="1"/>
  <c r="I23" i="7"/>
  <c r="O40" i="2"/>
  <c r="I39" i="2"/>
  <c r="E26" i="2"/>
  <c r="E6" i="3"/>
  <c r="D5" i="8"/>
  <c r="D37" i="8" s="1"/>
  <c r="D43" i="8" s="1"/>
  <c r="R25" i="8"/>
  <c r="R37" i="8" s="1"/>
  <c r="R43" i="8" s="1"/>
  <c r="D5" i="6"/>
  <c r="D37" i="6" s="1"/>
  <c r="D42" i="6" s="1"/>
  <c r="D5" i="7"/>
  <c r="D38" i="7" s="1"/>
  <c r="D42" i="7" s="1"/>
  <c r="C17" i="9"/>
  <c r="I12" i="6"/>
  <c r="H25" i="3"/>
  <c r="L25" i="3" s="1"/>
  <c r="I7" i="1"/>
  <c r="H26" i="2"/>
  <c r="I15" i="7"/>
  <c r="I14" i="7"/>
  <c r="I40" i="7"/>
  <c r="I13" i="7"/>
  <c r="H33" i="9"/>
  <c r="L33" i="9" s="1"/>
  <c r="M25" i="8"/>
  <c r="O25" i="8" s="1"/>
  <c r="F37" i="6"/>
  <c r="H20" i="2"/>
  <c r="L20" i="2" s="1"/>
  <c r="J8" i="1"/>
  <c r="I30" i="2"/>
  <c r="J16" i="3"/>
  <c r="E26" i="8"/>
  <c r="H6" i="6"/>
  <c r="I6" i="6" s="1"/>
  <c r="D4" i="1"/>
  <c r="P25" i="1"/>
  <c r="P47" i="1" s="1"/>
  <c r="P54" i="1" s="1"/>
  <c r="E33" i="6"/>
  <c r="H20" i="9"/>
  <c r="J20" i="9" s="1"/>
  <c r="P25" i="8"/>
  <c r="P37" i="8" s="1"/>
  <c r="P43" i="8" s="1"/>
  <c r="E6" i="7"/>
  <c r="P38" i="7"/>
  <c r="P42" i="7" s="1"/>
  <c r="H10" i="6"/>
  <c r="L10" i="6" s="1"/>
  <c r="I8" i="2"/>
  <c r="F16" i="1"/>
  <c r="F4" i="1" s="1"/>
  <c r="J28" i="1"/>
  <c r="J23" i="1"/>
  <c r="E34" i="7"/>
  <c r="I6" i="1"/>
  <c r="I33" i="1"/>
  <c r="I14" i="1"/>
  <c r="L13" i="6"/>
  <c r="J18" i="8"/>
  <c r="M24" i="6"/>
  <c r="O24" i="6" s="1"/>
  <c r="E10" i="6"/>
  <c r="E5" i="6" s="1"/>
  <c r="H19" i="7"/>
  <c r="H18" i="7" s="1"/>
  <c r="L18" i="7" s="1"/>
  <c r="C38" i="7"/>
  <c r="J19" i="1"/>
  <c r="E25" i="6"/>
  <c r="J7" i="1"/>
  <c r="F5" i="2"/>
  <c r="F23" i="9"/>
  <c r="F34" i="1"/>
  <c r="I30" i="7"/>
  <c r="R25" i="2"/>
  <c r="E38" i="9"/>
  <c r="P17" i="9"/>
  <c r="L17" i="8"/>
  <c r="H16" i="8"/>
  <c r="L7" i="8"/>
  <c r="H6" i="8"/>
  <c r="L6" i="8" s="1"/>
  <c r="D6" i="9"/>
  <c r="E33" i="8"/>
  <c r="I7" i="8"/>
  <c r="K54" i="1"/>
  <c r="I20" i="7"/>
  <c r="L50" i="9"/>
  <c r="L38" i="3"/>
  <c r="I26" i="3"/>
  <c r="I30" i="1"/>
  <c r="I23" i="2"/>
  <c r="H16" i="1"/>
  <c r="I16" i="1" s="1"/>
  <c r="J6" i="1"/>
  <c r="R6" i="9"/>
  <c r="J47" i="9"/>
  <c r="P6" i="9"/>
  <c r="Q6" i="9"/>
  <c r="I15" i="1"/>
  <c r="I13" i="1"/>
  <c r="C4" i="1"/>
  <c r="E11" i="7"/>
  <c r="C36" i="3"/>
  <c r="C42" i="3" s="1"/>
  <c r="L39" i="2"/>
  <c r="C5" i="2"/>
  <c r="J33" i="1"/>
  <c r="I42" i="2"/>
  <c r="D41" i="9"/>
  <c r="E40" i="2"/>
  <c r="I9" i="2"/>
  <c r="E6" i="2"/>
  <c r="E21" i="9"/>
  <c r="R25" i="1"/>
  <c r="R47" i="1" s="1"/>
  <c r="R54" i="1" s="1"/>
  <c r="I19" i="1"/>
  <c r="E43" i="1"/>
  <c r="E5" i="1"/>
  <c r="E33" i="9"/>
  <c r="E19" i="7"/>
  <c r="E18" i="7" s="1"/>
  <c r="L37" i="1"/>
  <c r="I35" i="1"/>
  <c r="L36" i="1"/>
  <c r="L30" i="1"/>
  <c r="I28" i="1"/>
  <c r="J21" i="1"/>
  <c r="L18" i="1"/>
  <c r="L17" i="1"/>
  <c r="I13" i="8"/>
  <c r="I12" i="8"/>
  <c r="H16" i="9"/>
  <c r="L37" i="2"/>
  <c r="H35" i="2"/>
  <c r="H11" i="7"/>
  <c r="L11" i="7" s="1"/>
  <c r="H10" i="3"/>
  <c r="L10" i="3" s="1"/>
  <c r="O38" i="9"/>
  <c r="H11" i="8"/>
  <c r="L11" i="8" s="1"/>
  <c r="I14" i="8"/>
  <c r="I28" i="3"/>
  <c r="L20" i="6"/>
  <c r="I37" i="1"/>
  <c r="I12" i="1"/>
  <c r="I36" i="2"/>
  <c r="M37" i="9"/>
  <c r="I36" i="1"/>
  <c r="J36" i="1"/>
  <c r="Q23" i="9"/>
  <c r="R5" i="7"/>
  <c r="R38" i="7" s="1"/>
  <c r="R42" i="7" s="1"/>
  <c r="H19" i="8"/>
  <c r="L19" i="8" s="1"/>
  <c r="R5" i="6"/>
  <c r="R37" i="6" s="1"/>
  <c r="R42" i="6" s="1"/>
  <c r="H18" i="3"/>
  <c r="L18" i="3" s="1"/>
  <c r="I19" i="3"/>
  <c r="H6" i="2"/>
  <c r="L6" i="2" s="1"/>
  <c r="R5" i="2"/>
  <c r="E36" i="9"/>
  <c r="E10" i="3"/>
  <c r="O6" i="8"/>
  <c r="O18" i="3"/>
  <c r="H34" i="1"/>
  <c r="L34" i="1" s="1"/>
  <c r="I29" i="7"/>
  <c r="J17" i="1"/>
  <c r="I17" i="1"/>
  <c r="H32" i="3"/>
  <c r="L18" i="2"/>
  <c r="I18" i="2"/>
  <c r="H5" i="1"/>
  <c r="H11" i="1"/>
  <c r="I11" i="1" s="1"/>
  <c r="N6" i="9"/>
  <c r="C6" i="9"/>
  <c r="G6" i="9"/>
  <c r="H21" i="9"/>
  <c r="L21" i="9" s="1"/>
  <c r="M6" i="9"/>
  <c r="K6" i="9"/>
  <c r="L7" i="7"/>
  <c r="J20" i="1"/>
  <c r="I20" i="1"/>
  <c r="H46" i="9"/>
  <c r="L46" i="9" s="1"/>
  <c r="O47" i="9"/>
  <c r="H6" i="3"/>
  <c r="L42" i="1"/>
  <c r="E31" i="9"/>
  <c r="I31" i="9" s="1"/>
  <c r="E20" i="9"/>
  <c r="I20" i="9" s="1"/>
  <c r="E18" i="9"/>
  <c r="O21" i="9"/>
  <c r="O19" i="9"/>
  <c r="I39" i="8"/>
  <c r="L26" i="3"/>
  <c r="L28" i="1"/>
  <c r="K43" i="8"/>
  <c r="I39" i="3"/>
  <c r="O42" i="9"/>
  <c r="O44" i="9"/>
  <c r="O36" i="9"/>
  <c r="O20" i="9"/>
  <c r="H34" i="7"/>
  <c r="L34" i="7" s="1"/>
  <c r="H33" i="8"/>
  <c r="H33" i="6"/>
  <c r="I27" i="3"/>
  <c r="O35" i="9"/>
  <c r="H12" i="2"/>
  <c r="L12" i="2" s="1"/>
  <c r="H40" i="2"/>
  <c r="E7" i="9"/>
  <c r="F6" i="9"/>
  <c r="H36" i="9"/>
  <c r="J36" i="9" s="1"/>
  <c r="I38" i="3"/>
  <c r="I11" i="3"/>
  <c r="I15" i="2"/>
  <c r="E25" i="9"/>
  <c r="H39" i="9"/>
  <c r="L39" i="9" s="1"/>
  <c r="K37" i="9"/>
  <c r="H34" i="9"/>
  <c r="L34" i="9" s="1"/>
  <c r="I52" i="9"/>
  <c r="I22" i="1"/>
  <c r="Q30" i="9"/>
  <c r="Q29" i="9" s="1"/>
  <c r="C30" i="9"/>
  <c r="P30" i="9"/>
  <c r="P29" i="9" s="1"/>
  <c r="F12" i="9"/>
  <c r="J12" i="9" s="1"/>
  <c r="E9" i="9"/>
  <c r="H8" i="9"/>
  <c r="J8" i="9" s="1"/>
  <c r="I12" i="7"/>
  <c r="J5" i="8"/>
  <c r="I16" i="8"/>
  <c r="G45" i="9"/>
  <c r="H44" i="9"/>
  <c r="L44" i="9" s="1"/>
  <c r="H40" i="9"/>
  <c r="L40" i="9" s="1"/>
  <c r="R30" i="9"/>
  <c r="R29" i="9" s="1"/>
  <c r="H28" i="9"/>
  <c r="E28" i="9"/>
  <c r="I28" i="9" s="1"/>
  <c r="R17" i="9"/>
  <c r="R12" i="9"/>
  <c r="H25" i="9"/>
  <c r="L25" i="9" s="1"/>
  <c r="G17" i="9"/>
  <c r="K12" i="9"/>
  <c r="E43" i="9"/>
  <c r="I22" i="3"/>
  <c r="H9" i="9"/>
  <c r="L9" i="9" s="1"/>
  <c r="Q17" i="9"/>
  <c r="Q12" i="9"/>
  <c r="E35" i="9"/>
  <c r="D5" i="3"/>
  <c r="D36" i="3" s="1"/>
  <c r="D42" i="3" s="1"/>
  <c r="R5" i="3"/>
  <c r="R36" i="3" s="1"/>
  <c r="R42" i="3" s="1"/>
  <c r="E34" i="9"/>
  <c r="C23" i="9"/>
  <c r="E25" i="3"/>
  <c r="D12" i="9"/>
  <c r="M12" i="9"/>
  <c r="J15" i="3"/>
  <c r="F5" i="3"/>
  <c r="K23" i="9"/>
  <c r="I16" i="3"/>
  <c r="G26" i="9"/>
  <c r="G23" i="9" s="1"/>
  <c r="F41" i="9"/>
  <c r="J41" i="9" s="1"/>
  <c r="I14" i="3"/>
  <c r="E14" i="9"/>
  <c r="R26" i="9"/>
  <c r="R23" i="9" s="1"/>
  <c r="I33" i="3"/>
  <c r="E40" i="9"/>
  <c r="P26" i="9"/>
  <c r="P23" i="9" s="1"/>
  <c r="E24" i="9"/>
  <c r="I21" i="3"/>
  <c r="E18" i="3"/>
  <c r="E17" i="3" s="1"/>
  <c r="C12" i="9"/>
  <c r="I33" i="2"/>
  <c r="E12" i="2"/>
  <c r="E5" i="2" s="1"/>
  <c r="E8" i="9"/>
  <c r="M5" i="7"/>
  <c r="O5" i="7" s="1"/>
  <c r="I16" i="7"/>
  <c r="C42" i="7"/>
  <c r="C39" i="7"/>
  <c r="E25" i="8"/>
  <c r="I23" i="8"/>
  <c r="I22" i="8"/>
  <c r="I21" i="8"/>
  <c r="C5" i="8"/>
  <c r="C37" i="8" s="1"/>
  <c r="C43" i="8" s="1"/>
  <c r="I17" i="8"/>
  <c r="P5" i="6"/>
  <c r="P37" i="6" s="1"/>
  <c r="P42" i="6" s="1"/>
  <c r="H27" i="9"/>
  <c r="L27" i="9" s="1"/>
  <c r="C5" i="6"/>
  <c r="C37" i="6" s="1"/>
  <c r="C38" i="6" s="1"/>
  <c r="I14" i="6"/>
  <c r="P5" i="3"/>
  <c r="I15" i="3"/>
  <c r="C37" i="3"/>
  <c r="P5" i="2"/>
  <c r="P44" i="2" s="1"/>
  <c r="P50" i="2" s="1"/>
  <c r="E48" i="9"/>
  <c r="I48" i="9" s="1"/>
  <c r="I16" i="2"/>
  <c r="E16" i="9"/>
  <c r="H51" i="9"/>
  <c r="G41" i="9"/>
  <c r="I41" i="1"/>
  <c r="C37" i="9"/>
  <c r="E13" i="9"/>
  <c r="L33" i="2"/>
  <c r="I21" i="1"/>
  <c r="I22" i="2"/>
  <c r="O46" i="9"/>
  <c r="L22" i="1"/>
  <c r="I29" i="2"/>
  <c r="I28" i="2"/>
  <c r="I17" i="2"/>
  <c r="L23" i="1"/>
  <c r="I23" i="1"/>
  <c r="D25" i="1"/>
  <c r="E26" i="1"/>
  <c r="E39" i="9"/>
  <c r="E19" i="9"/>
  <c r="I19" i="9" s="1"/>
  <c r="O27" i="9"/>
  <c r="H13" i="9"/>
  <c r="L13" i="9" s="1"/>
  <c r="I28" i="6"/>
  <c r="M30" i="9"/>
  <c r="O34" i="9"/>
  <c r="I20" i="8"/>
  <c r="I44" i="1"/>
  <c r="D30" i="9"/>
  <c r="D26" i="9"/>
  <c r="D5" i="2"/>
  <c r="K17" i="9"/>
  <c r="N17" i="9"/>
  <c r="O32" i="3"/>
  <c r="O18" i="9"/>
  <c r="G37" i="9"/>
  <c r="I7" i="3"/>
  <c r="H32" i="2"/>
  <c r="L32" i="2" s="1"/>
  <c r="L35" i="1"/>
  <c r="F37" i="9"/>
  <c r="E22" i="9"/>
  <c r="E15" i="9"/>
  <c r="O14" i="9"/>
  <c r="M41" i="9"/>
  <c r="H43" i="9"/>
  <c r="M25" i="1"/>
  <c r="L41" i="1"/>
  <c r="I42" i="1"/>
  <c r="J18" i="1"/>
  <c r="I18" i="1"/>
  <c r="J35" i="1"/>
  <c r="O9" i="9"/>
  <c r="I49" i="1"/>
  <c r="O32" i="9"/>
  <c r="K41" i="9"/>
  <c r="K30" i="9"/>
  <c r="N37" i="9"/>
  <c r="O43" i="2"/>
  <c r="O39" i="9"/>
  <c r="O26" i="2"/>
  <c r="I40" i="1"/>
  <c r="E44" i="9"/>
  <c r="L38" i="9"/>
  <c r="O25" i="7"/>
  <c r="O6" i="7"/>
  <c r="H26" i="8"/>
  <c r="L26" i="8" s="1"/>
  <c r="H14" i="9"/>
  <c r="L14" i="9" s="1"/>
  <c r="G5" i="6"/>
  <c r="G37" i="6" s="1"/>
  <c r="G5" i="3"/>
  <c r="G36" i="3" s="1"/>
  <c r="H24" i="9"/>
  <c r="G5" i="2"/>
  <c r="G44" i="2" s="1"/>
  <c r="G45" i="2" s="1"/>
  <c r="N25" i="1"/>
  <c r="N47" i="1" s="1"/>
  <c r="N48" i="1" s="1"/>
  <c r="G47" i="1"/>
  <c r="H18" i="9"/>
  <c r="J18" i="9" s="1"/>
  <c r="H7" i="9"/>
  <c r="F30" i="9"/>
  <c r="O43" i="9"/>
  <c r="D17" i="9"/>
  <c r="H22" i="9"/>
  <c r="J22" i="9" s="1"/>
  <c r="E50" i="9"/>
  <c r="I50" i="9" s="1"/>
  <c r="M5" i="8"/>
  <c r="O15" i="9"/>
  <c r="H15" i="9"/>
  <c r="L15" i="9" s="1"/>
  <c r="O13" i="9"/>
  <c r="L32" i="9"/>
  <c r="O18" i="7"/>
  <c r="M45" i="9"/>
  <c r="O40" i="9"/>
  <c r="O24" i="3"/>
  <c r="M5" i="3"/>
  <c r="O25" i="9"/>
  <c r="M26" i="9"/>
  <c r="M23" i="9" s="1"/>
  <c r="O24" i="9"/>
  <c r="O6" i="2"/>
  <c r="M5" i="2"/>
  <c r="M44" i="2" s="1"/>
  <c r="O33" i="9"/>
  <c r="M17" i="9"/>
  <c r="O22" i="9"/>
  <c r="M4" i="1"/>
  <c r="O4" i="1" s="1"/>
  <c r="O8" i="9"/>
  <c r="O7" i="9"/>
  <c r="O5" i="1"/>
  <c r="K42" i="7"/>
  <c r="K5" i="2"/>
  <c r="K44" i="2" s="1"/>
  <c r="K45" i="2" s="1"/>
  <c r="N5" i="6"/>
  <c r="N37" i="6" s="1"/>
  <c r="N38" i="6" s="1"/>
  <c r="O17" i="6"/>
  <c r="N30" i="9"/>
  <c r="N41" i="9"/>
  <c r="N12" i="9"/>
  <c r="G5" i="7"/>
  <c r="G38" i="7" s="1"/>
  <c r="G39" i="7" s="1"/>
  <c r="O18" i="8"/>
  <c r="N5" i="8"/>
  <c r="N37" i="8" s="1"/>
  <c r="N38" i="8" s="1"/>
  <c r="H35" i="9"/>
  <c r="L35" i="9" s="1"/>
  <c r="M5" i="6"/>
  <c r="M37" i="6" s="1"/>
  <c r="M42" i="6" s="1"/>
  <c r="G30" i="9"/>
  <c r="L18" i="6"/>
  <c r="I18" i="6"/>
  <c r="H17" i="6"/>
  <c r="G12" i="9"/>
  <c r="O17" i="3"/>
  <c r="N5" i="3"/>
  <c r="N36" i="3" s="1"/>
  <c r="N37" i="3" s="1"/>
  <c r="I12" i="3"/>
  <c r="O25" i="2"/>
  <c r="O19" i="2"/>
  <c r="N5" i="2"/>
  <c r="N44" i="2" s="1"/>
  <c r="N45" i="2" s="1"/>
  <c r="H47" i="9"/>
  <c r="L47" i="9" s="1"/>
  <c r="J50" i="9"/>
  <c r="L19" i="9"/>
  <c r="N23" i="9"/>
  <c r="D37" i="9"/>
  <c r="L20" i="9"/>
  <c r="E47" i="9"/>
  <c r="J19" i="9"/>
  <c r="L19" i="7" l="1"/>
  <c r="F37" i="8"/>
  <c r="F43" i="8" s="1"/>
  <c r="I25" i="3"/>
  <c r="H24" i="3"/>
  <c r="L24" i="3" s="1"/>
  <c r="J33" i="9"/>
  <c r="I33" i="9"/>
  <c r="I26" i="7"/>
  <c r="I32" i="9"/>
  <c r="I38" i="9"/>
  <c r="E4" i="1"/>
  <c r="J5" i="7"/>
  <c r="J26" i="1"/>
  <c r="C44" i="2"/>
  <c r="C45" i="2" s="1"/>
  <c r="I10" i="6"/>
  <c r="D44" i="2"/>
  <c r="D50" i="2" s="1"/>
  <c r="I6" i="3"/>
  <c r="D47" i="1"/>
  <c r="D54" i="1" s="1"/>
  <c r="F39" i="7"/>
  <c r="J39" i="7" s="1"/>
  <c r="J38" i="7"/>
  <c r="F42" i="7"/>
  <c r="L6" i="6"/>
  <c r="M37" i="8"/>
  <c r="M43" i="8" s="1"/>
  <c r="E25" i="1"/>
  <c r="E47" i="1" s="1"/>
  <c r="I26" i="2"/>
  <c r="I26" i="1"/>
  <c r="E5" i="3"/>
  <c r="E25" i="2"/>
  <c r="E44" i="2" s="1"/>
  <c r="C47" i="1"/>
  <c r="C48" i="1" s="1"/>
  <c r="F25" i="1"/>
  <c r="F47" i="1" s="1"/>
  <c r="E24" i="6"/>
  <c r="E37" i="6" s="1"/>
  <c r="L26" i="2"/>
  <c r="I19" i="7"/>
  <c r="H25" i="2"/>
  <c r="H5" i="7"/>
  <c r="L5" i="7" s="1"/>
  <c r="I43" i="1"/>
  <c r="L32" i="3"/>
  <c r="I32" i="3"/>
  <c r="I34" i="7"/>
  <c r="I16" i="9"/>
  <c r="R44" i="2"/>
  <c r="R50" i="2" s="1"/>
  <c r="I20" i="2"/>
  <c r="E24" i="3"/>
  <c r="H19" i="2"/>
  <c r="I19" i="2" s="1"/>
  <c r="E25" i="7"/>
  <c r="J5" i="2"/>
  <c r="F44" i="2"/>
  <c r="I25" i="6"/>
  <c r="F38" i="6"/>
  <c r="J38" i="6" s="1"/>
  <c r="J37" i="6"/>
  <c r="F42" i="6"/>
  <c r="J42" i="6" s="1"/>
  <c r="H25" i="7"/>
  <c r="L25" i="7" s="1"/>
  <c r="I6" i="8"/>
  <c r="G38" i="6"/>
  <c r="G42" i="6"/>
  <c r="H17" i="3"/>
  <c r="H5" i="3" s="1"/>
  <c r="G37" i="3"/>
  <c r="G42" i="3"/>
  <c r="I33" i="6"/>
  <c r="L33" i="6"/>
  <c r="H24" i="6"/>
  <c r="I24" i="6" s="1"/>
  <c r="I10" i="3"/>
  <c r="L16" i="1"/>
  <c r="J16" i="1"/>
  <c r="I11" i="7"/>
  <c r="I11" i="8"/>
  <c r="I6" i="2"/>
  <c r="I19" i="8"/>
  <c r="I5" i="1"/>
  <c r="D39" i="7"/>
  <c r="I18" i="7"/>
  <c r="E5" i="7"/>
  <c r="L35" i="2"/>
  <c r="I35" i="2"/>
  <c r="N54" i="1"/>
  <c r="J34" i="1"/>
  <c r="O37" i="9"/>
  <c r="D37" i="3"/>
  <c r="H18" i="8"/>
  <c r="L18" i="8" s="1"/>
  <c r="I34" i="1"/>
  <c r="I33" i="8"/>
  <c r="L33" i="8"/>
  <c r="L6" i="3"/>
  <c r="H25" i="1"/>
  <c r="I40" i="9"/>
  <c r="L11" i="1"/>
  <c r="H4" i="1"/>
  <c r="I4" i="1" s="1"/>
  <c r="J11" i="1"/>
  <c r="I51" i="9"/>
  <c r="L51" i="9"/>
  <c r="J21" i="9"/>
  <c r="I21" i="9"/>
  <c r="H6" i="9"/>
  <c r="J6" i="9" s="1"/>
  <c r="E6" i="9"/>
  <c r="C29" i="9"/>
  <c r="I40" i="2"/>
  <c r="L40" i="2"/>
  <c r="I25" i="9"/>
  <c r="I44" i="9"/>
  <c r="L36" i="9"/>
  <c r="I36" i="9"/>
  <c r="K42" i="3"/>
  <c r="N43" i="8"/>
  <c r="N42" i="3"/>
  <c r="L5" i="1"/>
  <c r="I39" i="9"/>
  <c r="J5" i="1"/>
  <c r="M38" i="7"/>
  <c r="M42" i="7" s="1"/>
  <c r="L8" i="9"/>
  <c r="J39" i="9"/>
  <c r="H37" i="9"/>
  <c r="L37" i="9" s="1"/>
  <c r="O17" i="9"/>
  <c r="O12" i="9"/>
  <c r="H41" i="9"/>
  <c r="L41" i="9" s="1"/>
  <c r="J25" i="9"/>
  <c r="E41" i="9"/>
  <c r="K5" i="9"/>
  <c r="R5" i="9"/>
  <c r="R49" i="9" s="1"/>
  <c r="R55" i="9" s="1"/>
  <c r="I42" i="9"/>
  <c r="I9" i="9"/>
  <c r="I27" i="9"/>
  <c r="I34" i="9"/>
  <c r="I12" i="2"/>
  <c r="J44" i="9"/>
  <c r="J37" i="8"/>
  <c r="F38" i="8"/>
  <c r="J38" i="8" s="1"/>
  <c r="J27" i="9"/>
  <c r="G5" i="9"/>
  <c r="P5" i="9"/>
  <c r="P49" i="9" s="1"/>
  <c r="P55" i="9" s="1"/>
  <c r="C5" i="9"/>
  <c r="Q5" i="9"/>
  <c r="Q49" i="9" s="1"/>
  <c r="Q55" i="9" s="1"/>
  <c r="C42" i="6"/>
  <c r="P36" i="3"/>
  <c r="P42" i="3" s="1"/>
  <c r="J5" i="3"/>
  <c r="F36" i="3"/>
  <c r="F42" i="3" s="1"/>
  <c r="J9" i="9"/>
  <c r="E30" i="9"/>
  <c r="M36" i="3"/>
  <c r="M42" i="3" s="1"/>
  <c r="F29" i="9"/>
  <c r="I24" i="9"/>
  <c r="I18" i="3"/>
  <c r="C50" i="2"/>
  <c r="C54" i="1"/>
  <c r="I8" i="9"/>
  <c r="E17" i="9"/>
  <c r="E37" i="8"/>
  <c r="C38" i="8"/>
  <c r="O37" i="6"/>
  <c r="E12" i="9"/>
  <c r="O25" i="1"/>
  <c r="E37" i="9"/>
  <c r="I32" i="2"/>
  <c r="D38" i="8"/>
  <c r="D29" i="9"/>
  <c r="I13" i="9"/>
  <c r="D38" i="6"/>
  <c r="O30" i="9"/>
  <c r="L22" i="9"/>
  <c r="I6" i="7"/>
  <c r="L6" i="7"/>
  <c r="D23" i="9"/>
  <c r="D5" i="9" s="1"/>
  <c r="E26" i="9"/>
  <c r="E23" i="9" s="1"/>
  <c r="G29" i="9"/>
  <c r="G50" i="2"/>
  <c r="G54" i="1"/>
  <c r="F5" i="9"/>
  <c r="O5" i="6"/>
  <c r="L43" i="9"/>
  <c r="I43" i="9"/>
  <c r="O41" i="9"/>
  <c r="I38" i="1"/>
  <c r="L38" i="1"/>
  <c r="I22" i="9"/>
  <c r="M47" i="1"/>
  <c r="L18" i="9"/>
  <c r="I26" i="8"/>
  <c r="H17" i="9"/>
  <c r="L17" i="9" s="1"/>
  <c r="O48" i="9"/>
  <c r="N45" i="9"/>
  <c r="O45" i="9" s="1"/>
  <c r="I18" i="9"/>
  <c r="N42" i="7"/>
  <c r="J7" i="9"/>
  <c r="G42" i="7"/>
  <c r="H25" i="8"/>
  <c r="I14" i="9"/>
  <c r="N42" i="6"/>
  <c r="I7" i="9"/>
  <c r="L24" i="9"/>
  <c r="L7" i="9"/>
  <c r="I15" i="9"/>
  <c r="H12" i="9"/>
  <c r="L12" i="9" s="1"/>
  <c r="M5" i="9"/>
  <c r="O6" i="9"/>
  <c r="H45" i="9"/>
  <c r="M29" i="9"/>
  <c r="O23" i="9"/>
  <c r="H26" i="9"/>
  <c r="H23" i="9" s="1"/>
  <c r="L23" i="9" s="1"/>
  <c r="O26" i="9"/>
  <c r="M50" i="2"/>
  <c r="M45" i="2"/>
  <c r="I35" i="9"/>
  <c r="K42" i="6"/>
  <c r="L43" i="2"/>
  <c r="K50" i="2"/>
  <c r="H30" i="9"/>
  <c r="L30" i="9" s="1"/>
  <c r="O5" i="8"/>
  <c r="M38" i="6"/>
  <c r="O38" i="6" s="1"/>
  <c r="I17" i="6"/>
  <c r="H5" i="6"/>
  <c r="L17" i="6"/>
  <c r="O5" i="3"/>
  <c r="O5" i="2"/>
  <c r="I47" i="9"/>
  <c r="E45" i="9"/>
  <c r="N5" i="9"/>
  <c r="H5" i="8" l="1"/>
  <c r="I24" i="3"/>
  <c r="M38" i="8"/>
  <c r="O38" i="8" s="1"/>
  <c r="I5" i="7"/>
  <c r="H36" i="3"/>
  <c r="H42" i="3" s="1"/>
  <c r="L19" i="2"/>
  <c r="E50" i="2"/>
  <c r="E45" i="2"/>
  <c r="I25" i="2"/>
  <c r="D45" i="2"/>
  <c r="E42" i="6"/>
  <c r="E38" i="6"/>
  <c r="I25" i="1"/>
  <c r="L17" i="3"/>
  <c r="I17" i="3"/>
  <c r="D48" i="1"/>
  <c r="E48" i="1" s="1"/>
  <c r="H5" i="2"/>
  <c r="L5" i="2" s="1"/>
  <c r="L25" i="2"/>
  <c r="F48" i="1"/>
  <c r="F54" i="1"/>
  <c r="E38" i="7"/>
  <c r="E39" i="7" s="1"/>
  <c r="I25" i="7"/>
  <c r="L24" i="6"/>
  <c r="H38" i="7"/>
  <c r="H39" i="7" s="1"/>
  <c r="L39" i="7" s="1"/>
  <c r="E36" i="3"/>
  <c r="E42" i="3" s="1"/>
  <c r="F50" i="2"/>
  <c r="J50" i="2" s="1"/>
  <c r="F45" i="2"/>
  <c r="J45" i="2" s="1"/>
  <c r="J44" i="2"/>
  <c r="E42" i="7"/>
  <c r="I18" i="8"/>
  <c r="J25" i="1"/>
  <c r="L25" i="1"/>
  <c r="E54" i="1"/>
  <c r="E38" i="8"/>
  <c r="E43" i="8"/>
  <c r="C49" i="9"/>
  <c r="C55" i="9" s="1"/>
  <c r="H47" i="1"/>
  <c r="I47" i="1" s="1"/>
  <c r="J4" i="1"/>
  <c r="L4" i="1"/>
  <c r="L6" i="9"/>
  <c r="L36" i="3"/>
  <c r="M37" i="3"/>
  <c r="O37" i="3" s="1"/>
  <c r="M39" i="7"/>
  <c r="O39" i="7" s="1"/>
  <c r="H48" i="1"/>
  <c r="I41" i="9"/>
  <c r="O38" i="7"/>
  <c r="O42" i="7"/>
  <c r="J37" i="9"/>
  <c r="I37" i="9"/>
  <c r="O36" i="3"/>
  <c r="D49" i="9"/>
  <c r="D55" i="9" s="1"/>
  <c r="F49" i="9"/>
  <c r="G49" i="9"/>
  <c r="G55" i="9" s="1"/>
  <c r="I6" i="9"/>
  <c r="J36" i="3"/>
  <c r="J42" i="3"/>
  <c r="F37" i="3"/>
  <c r="J37" i="3" s="1"/>
  <c r="E5" i="9"/>
  <c r="L5" i="3"/>
  <c r="I5" i="3"/>
  <c r="O47" i="1"/>
  <c r="M54" i="1"/>
  <c r="O54" i="1" s="1"/>
  <c r="I17" i="9"/>
  <c r="J17" i="9"/>
  <c r="O42" i="6"/>
  <c r="N29" i="9"/>
  <c r="N49" i="9" s="1"/>
  <c r="I25" i="8"/>
  <c r="L25" i="8"/>
  <c r="I5" i="8"/>
  <c r="L5" i="8"/>
  <c r="H37" i="8"/>
  <c r="H43" i="8" s="1"/>
  <c r="I45" i="9"/>
  <c r="I30" i="9"/>
  <c r="I12" i="9"/>
  <c r="M49" i="9"/>
  <c r="M55" i="9" s="1"/>
  <c r="I26" i="9"/>
  <c r="L26" i="9"/>
  <c r="I23" i="9"/>
  <c r="H5" i="9"/>
  <c r="J5" i="9" s="1"/>
  <c r="J23" i="9"/>
  <c r="L48" i="9"/>
  <c r="K45" i="9"/>
  <c r="H29" i="9"/>
  <c r="J29" i="9" s="1"/>
  <c r="J30" i="9"/>
  <c r="O43" i="8"/>
  <c r="O37" i="8"/>
  <c r="H37" i="6"/>
  <c r="H42" i="6" s="1"/>
  <c r="L5" i="6"/>
  <c r="I5" i="6"/>
  <c r="N50" i="2"/>
  <c r="O50" i="2" s="1"/>
  <c r="O45" i="2"/>
  <c r="O44" i="2"/>
  <c r="O5" i="9"/>
  <c r="E29" i="9"/>
  <c r="I39" i="7" l="1"/>
  <c r="I5" i="2"/>
  <c r="H44" i="2"/>
  <c r="L44" i="2" s="1"/>
  <c r="H42" i="7"/>
  <c r="L42" i="7" s="1"/>
  <c r="I38" i="7"/>
  <c r="L38" i="7"/>
  <c r="I36" i="3"/>
  <c r="E37" i="3"/>
  <c r="J47" i="1"/>
  <c r="H54" i="1"/>
  <c r="J54" i="1" s="1"/>
  <c r="L47" i="1"/>
  <c r="J48" i="1"/>
  <c r="L48" i="1"/>
  <c r="I48" i="1"/>
  <c r="O48" i="1"/>
  <c r="O42" i="3"/>
  <c r="F55" i="9"/>
  <c r="I5" i="9"/>
  <c r="H37" i="3"/>
  <c r="O29" i="9"/>
  <c r="L37" i="8"/>
  <c r="L43" i="8" s="1"/>
  <c r="I37" i="8"/>
  <c r="H38" i="8"/>
  <c r="I29" i="9"/>
  <c r="L5" i="9"/>
  <c r="H49" i="9"/>
  <c r="H55" i="9" s="1"/>
  <c r="K29" i="9"/>
  <c r="K49" i="9" s="1"/>
  <c r="K55" i="9" s="1"/>
  <c r="L45" i="9"/>
  <c r="I37" i="6"/>
  <c r="H38" i="6"/>
  <c r="L37" i="6"/>
  <c r="N55" i="9"/>
  <c r="O55" i="9" s="1"/>
  <c r="O49" i="9"/>
  <c r="E49" i="9"/>
  <c r="H50" i="2" l="1"/>
  <c r="I50" i="2" s="1"/>
  <c r="I44" i="2"/>
  <c r="H45" i="2"/>
  <c r="I45" i="2" s="1"/>
  <c r="I42" i="7"/>
  <c r="L54" i="1"/>
  <c r="I54" i="1"/>
  <c r="J55" i="9"/>
  <c r="J49" i="9"/>
  <c r="L29" i="9"/>
  <c r="L37" i="3"/>
  <c r="I37" i="3"/>
  <c r="L42" i="3"/>
  <c r="I42" i="3"/>
  <c r="I38" i="8"/>
  <c r="L38" i="8"/>
  <c r="I43" i="8"/>
  <c r="L49" i="9"/>
  <c r="L55" i="9"/>
  <c r="I38" i="6"/>
  <c r="L38" i="6"/>
  <c r="L42" i="6"/>
  <c r="I42" i="6"/>
  <c r="I49" i="9"/>
  <c r="E55" i="9"/>
  <c r="I55" i="9" s="1"/>
  <c r="G5" i="8"/>
  <c r="G37" i="8" s="1"/>
  <c r="L45" i="2" l="1"/>
  <c r="L50" i="2"/>
  <c r="G38" i="8"/>
</calcChain>
</file>

<file path=xl/sharedStrings.xml><?xml version="1.0" encoding="utf-8"?>
<sst xmlns="http://schemas.openxmlformats.org/spreadsheetml/2006/main" count="481" uniqueCount="144">
  <si>
    <t xml:space="preserve">  ед.налог на ВД</t>
  </si>
  <si>
    <t xml:space="preserve">  арендная плата за землю</t>
  </si>
  <si>
    <t>ВСЕГО ДОХОДОВ</t>
  </si>
  <si>
    <t>НАИМЕНОВАНИЕ ДОХОДНЫХ ИСТОЧНИКОВ</t>
  </si>
  <si>
    <t>Код бюджетной классификации</t>
  </si>
  <si>
    <t xml:space="preserve">                   СВЕДЕНИЯ</t>
  </si>
  <si>
    <t xml:space="preserve"> ДОХОДЫ</t>
  </si>
  <si>
    <t>единый сельхозналог</t>
  </si>
  <si>
    <t>невыясненные поступления</t>
  </si>
  <si>
    <t>НЕДОИМКА</t>
  </si>
  <si>
    <t>% исполнения к годовому плану</t>
  </si>
  <si>
    <t>С В Е Д Е Н И Я</t>
  </si>
  <si>
    <t>налог на имущество ф.л.</t>
  </si>
  <si>
    <t>Земельный налог всего</t>
  </si>
  <si>
    <t>пр. неналоговые доходы</t>
  </si>
  <si>
    <t>Земельный налог</t>
  </si>
  <si>
    <t xml:space="preserve">.налог на имущество ф.л. </t>
  </si>
  <si>
    <t>аренд пл за имущ.в опер упр</t>
  </si>
  <si>
    <t>доходы от эксплуат автодорог</t>
  </si>
  <si>
    <t>Налог на имущество организаций</t>
  </si>
  <si>
    <t xml:space="preserve">  доходы от акций</t>
  </si>
  <si>
    <t>Налоговые доходы</t>
  </si>
  <si>
    <t>Неналоговые доходы</t>
  </si>
  <si>
    <t xml:space="preserve">проч.поступл. от исп. имущ-ва </t>
  </si>
  <si>
    <t>Поправки</t>
  </si>
  <si>
    <t>Безвозмездные поступления</t>
  </si>
  <si>
    <t xml:space="preserve">Аренд плата за землю </t>
  </si>
  <si>
    <t>доходы от экспл автодорог</t>
  </si>
  <si>
    <t>Наименование доходных источников</t>
  </si>
  <si>
    <t>% исполнения к кассовому плану</t>
  </si>
  <si>
    <t>% исполнения к прошлому году</t>
  </si>
  <si>
    <t>доходы от реализ имущ-ва</t>
  </si>
  <si>
    <t>доходы от продажи зем участк</t>
  </si>
  <si>
    <t>прочие неналоговые доходы</t>
  </si>
  <si>
    <t>доходы от платных услуг</t>
  </si>
  <si>
    <t>доходы связ с экспл имущества</t>
  </si>
  <si>
    <t>Безвозм поступл от бюдж др уровн</t>
  </si>
  <si>
    <t>2070500005</t>
  </si>
  <si>
    <t>Прочие дох от комп затрат</t>
  </si>
  <si>
    <t>2070500000</t>
  </si>
  <si>
    <t>на дох физ лиц налоговых агентов</t>
  </si>
  <si>
    <t>зарегистр в кач-ве инд  предприн</t>
  </si>
  <si>
    <t>физические лица  по ст 228</t>
  </si>
  <si>
    <t>зарег в кач-ве инд  предприн</t>
  </si>
  <si>
    <t>на дох физ лиц налог агентов</t>
  </si>
  <si>
    <t>Доходы от продажи имущест</t>
  </si>
  <si>
    <t>Прочие безвозмездн поступления</t>
  </si>
  <si>
    <t>Прочие безвозмездн поступ</t>
  </si>
  <si>
    <t>Акцизы по подакцизным товарам</t>
  </si>
  <si>
    <t>Акцизы на дизельное топливо</t>
  </si>
  <si>
    <t>Акцизы на моторные масла</t>
  </si>
  <si>
    <t>Акцизы на автомобильный бензин</t>
  </si>
  <si>
    <t>Акцизы на прямогонный бензин</t>
  </si>
  <si>
    <t>УСН (доходы)</t>
  </si>
  <si>
    <t>УСН (доходы минус расходы)</t>
  </si>
  <si>
    <t>Налоги на совокупный доход</t>
  </si>
  <si>
    <t>Задолж.по отмен.налог.и сборам</t>
  </si>
  <si>
    <t xml:space="preserve"> Налог на имущество организ</t>
  </si>
  <si>
    <t>арендная пл за землю до разгр</t>
  </si>
  <si>
    <t>аренда земли после разгр</t>
  </si>
  <si>
    <t xml:space="preserve">  арендная плата за имущ.</t>
  </si>
  <si>
    <t>Доходы от использ имущества</t>
  </si>
  <si>
    <t>прочие доходы от комп затрат</t>
  </si>
  <si>
    <t>Н Д Ф Л</t>
  </si>
  <si>
    <t>ГОСПОШЛИНА</t>
  </si>
  <si>
    <t>Плата за негат воздна окр.</t>
  </si>
  <si>
    <t>Доходы от оказ платн услуг</t>
  </si>
  <si>
    <t>ДОХОДЫ ОТ ПРОД АЖИ</t>
  </si>
  <si>
    <t>.ШТРАФЫ, САНКЦИИ</t>
  </si>
  <si>
    <t>ПРОЧ.НЕНАЛОГ.ДОХОДЫ</t>
  </si>
  <si>
    <t>Налог на СОВОКУП.ДОХОД</t>
  </si>
  <si>
    <t>Налоги на ИМУЩЕСТВО</t>
  </si>
  <si>
    <t xml:space="preserve"> Госпошлина</t>
  </si>
  <si>
    <t>Задолженность по зем налогу</t>
  </si>
  <si>
    <t>ДОХОДЫ ОТ ИСП.ИМУЩ.</t>
  </si>
  <si>
    <t xml:space="preserve"> Доходы от продажи имущества</t>
  </si>
  <si>
    <t xml:space="preserve"> Доходы от продажи зем уч</t>
  </si>
  <si>
    <t xml:space="preserve"> Штрафы,санкции</t>
  </si>
  <si>
    <t>Доходы от продажи зем уч</t>
  </si>
  <si>
    <t xml:space="preserve"> Штрафы, санкции</t>
  </si>
  <si>
    <t>Налоги на имущество</t>
  </si>
  <si>
    <t>Плата за негат.возд.на окр.среду</t>
  </si>
  <si>
    <t>Налоги на совокуп доход</t>
  </si>
  <si>
    <t>Госпошлина</t>
  </si>
  <si>
    <t>Зад.по отмен.налог.и сборам</t>
  </si>
  <si>
    <t>Доходы от использ-я  имущ-ва</t>
  </si>
  <si>
    <t>Доходы от продажи</t>
  </si>
  <si>
    <t>Штрафы, санкции</t>
  </si>
  <si>
    <t>Прочие неналог доходы</t>
  </si>
  <si>
    <t xml:space="preserve"> ИТОГО СОБСТВ ДОХОДЫ</t>
  </si>
  <si>
    <t>Акцизы на автобензин</t>
  </si>
  <si>
    <t>Собств доходы без акцизов и родит платы</t>
  </si>
  <si>
    <t>Собств доходы без акцизов</t>
  </si>
  <si>
    <t>Возврат остатков прошл лет</t>
  </si>
  <si>
    <t>2190500005</t>
  </si>
  <si>
    <t>2070500013</t>
  </si>
  <si>
    <t>доходы от выдачи патентов</t>
  </si>
  <si>
    <t>Аренд плата за землю  неразгранич</t>
  </si>
  <si>
    <t>Аренд плата за землю  гор пос</t>
  </si>
  <si>
    <t>Кассовый план на 9 месяцев  2015 года</t>
  </si>
  <si>
    <t>в т.ч. земельный налог организ.</t>
  </si>
  <si>
    <t>в т.ч. земельный налог  физ лиц</t>
  </si>
  <si>
    <t>2040500005</t>
  </si>
  <si>
    <t>Доходы связ с экспл имущества</t>
  </si>
  <si>
    <t xml:space="preserve"> Доходы от продажи зем уч неразгр</t>
  </si>
  <si>
    <t xml:space="preserve"> Доходы от продажи зем уч разгр</t>
  </si>
  <si>
    <t>Аренд плата за землю  разгранич</t>
  </si>
  <si>
    <t>2190500013</t>
  </si>
  <si>
    <t>Доходы от возврата остатков пр лет</t>
  </si>
  <si>
    <t>2196001005</t>
  </si>
  <si>
    <t>Доходы от сдачи в аренду им-ва в казне</t>
  </si>
  <si>
    <t>2186001013</t>
  </si>
  <si>
    <t>доходы от сдачи в аренду им-ва в казне</t>
  </si>
  <si>
    <t>Безвоз. поступл. от негосуд. организ-й</t>
  </si>
  <si>
    <t>инициативные платежи</t>
  </si>
  <si>
    <t>2080500005</t>
  </si>
  <si>
    <t>Перечисления для осуществления возврата</t>
  </si>
  <si>
    <t>2023 год</t>
  </si>
  <si>
    <t>на дох физ лиц с дох свыше 5 млн</t>
  </si>
  <si>
    <t>2040500010</t>
  </si>
  <si>
    <t>2070500010</t>
  </si>
  <si>
    <t>в виде дивидендов (в части суммы налога, не превышающей 650 000 рублей)</t>
  </si>
  <si>
    <t>на 01.01.2024 года</t>
  </si>
  <si>
    <t>2024 год</t>
  </si>
  <si>
    <t>Первоначальный план на 2024 год</t>
  </si>
  <si>
    <t>Уточненный план на 2024 год</t>
  </si>
  <si>
    <t>2080500010</t>
  </si>
  <si>
    <t>Доходы от реализации имущества в опер</t>
  </si>
  <si>
    <t>Фактическое исполнение за январь-август</t>
  </si>
  <si>
    <t>на 01.09.2024 года</t>
  </si>
  <si>
    <t>Сведения об исполнении бюджета муниципального района по состоянию на  01 октября 2024 года</t>
  </si>
  <si>
    <t>Поступило за сентябрь 2024 года</t>
  </si>
  <si>
    <t>Поступило за сентябрь 2023 года</t>
  </si>
  <si>
    <t>Фактическое исполнение за январь-сентябрь</t>
  </si>
  <si>
    <t>на 01.10.2024 года</t>
  </si>
  <si>
    <t xml:space="preserve">об исполнении бюджета Ленинского городского поселения на 01 октября 2024 г. </t>
  </si>
  <si>
    <t>Поступило за сентябрь  2023 года</t>
  </si>
  <si>
    <t>об исполнении бюджета Высокораменского сельского поселения на 01 октября 2024 г.</t>
  </si>
  <si>
    <t>об исполнении бюджета Гостовского сельского поселения на 01 октября 2024г.</t>
  </si>
  <si>
    <t>Фактическое исполнение за январь-сеннтябрь</t>
  </si>
  <si>
    <t>об исполнении бюджета Новотроицкого сельского поселения на 01 октября 2024 г.</t>
  </si>
  <si>
    <t>об исполнении бюджета Черновского сельского поселения на 01 октября 2024 г.</t>
  </si>
  <si>
    <t>Поступило за сентябрь  2024 года</t>
  </si>
  <si>
    <t xml:space="preserve">об исполнении бюджета муниципального  образования на  01 октября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</si>
</sst>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0.000"/>
    <numFmt numFmtId="167" formatCode="000000"/>
    <numFmt numFmtId="168" formatCode="#,##0.0"/>
    <numFmt numFmtId="169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2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4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b/>
      <sz val="10"/>
      <name val="Arial Cyr"/>
      <charset val="204"/>
    </font>
    <font>
      <sz val="16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top" wrapText="1"/>
    </xf>
    <xf numFmtId="165" fontId="3" fillId="2" borderId="0" xfId="0" applyNumberFormat="1" applyFont="1" applyFill="1" applyBorder="1"/>
    <xf numFmtId="165" fontId="3" fillId="0" borderId="0" xfId="0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4" borderId="3" xfId="0" applyFont="1" applyFill="1" applyBorder="1"/>
    <xf numFmtId="0" fontId="8" fillId="2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2" borderId="3" xfId="0" applyFont="1" applyFill="1" applyBorder="1"/>
    <xf numFmtId="0" fontId="7" fillId="3" borderId="3" xfId="0" applyFont="1" applyFill="1" applyBorder="1" applyAlignment="1">
      <alignment horizontal="center"/>
    </xf>
    <xf numFmtId="0" fontId="8" fillId="0" borderId="3" xfId="0" applyFont="1" applyFill="1" applyBorder="1"/>
    <xf numFmtId="0" fontId="7" fillId="5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9" fillId="3" borderId="3" xfId="0" applyFont="1" applyFill="1" applyBorder="1"/>
    <xf numFmtId="0" fontId="10" fillId="2" borderId="3" xfId="0" applyFont="1" applyFill="1" applyBorder="1"/>
    <xf numFmtId="0" fontId="10" fillId="0" borderId="3" xfId="0" applyFont="1" applyFill="1" applyBorder="1"/>
    <xf numFmtId="0" fontId="9" fillId="5" borderId="3" xfId="0" applyFont="1" applyFill="1" applyBorder="1"/>
    <xf numFmtId="49" fontId="10" fillId="2" borderId="3" xfId="0" applyNumberFormat="1" applyFont="1" applyFill="1" applyBorder="1" applyAlignment="1">
      <alignment horizontal="right"/>
    </xf>
    <xf numFmtId="0" fontId="10" fillId="5" borderId="3" xfId="0" applyFont="1" applyFill="1" applyBorder="1"/>
    <xf numFmtId="0" fontId="8" fillId="0" borderId="0" xfId="0" applyFont="1"/>
    <xf numFmtId="165" fontId="8" fillId="0" borderId="0" xfId="0" applyNumberFormat="1" applyFont="1"/>
    <xf numFmtId="0" fontId="11" fillId="2" borderId="3" xfId="0" applyFont="1" applyFill="1" applyBorder="1"/>
    <xf numFmtId="0" fontId="7" fillId="3" borderId="3" xfId="0" applyFont="1" applyFill="1" applyBorder="1" applyAlignment="1">
      <alignment wrapText="1"/>
    </xf>
    <xf numFmtId="0" fontId="8" fillId="4" borderId="3" xfId="0" applyFont="1" applyFill="1" applyBorder="1"/>
    <xf numFmtId="0" fontId="8" fillId="2" borderId="4" xfId="0" applyFont="1" applyFill="1" applyBorder="1"/>
    <xf numFmtId="0" fontId="7" fillId="3" borderId="3" xfId="0" applyFont="1" applyFill="1" applyBorder="1"/>
    <xf numFmtId="0" fontId="8" fillId="0" borderId="3" xfId="0" applyFont="1" applyBorder="1"/>
    <xf numFmtId="49" fontId="8" fillId="2" borderId="3" xfId="0" applyNumberFormat="1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6" fillId="4" borderId="3" xfId="0" applyFont="1" applyFill="1" applyBorder="1"/>
    <xf numFmtId="0" fontId="6" fillId="4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3" borderId="3" xfId="0" applyFont="1" applyFill="1" applyBorder="1"/>
    <xf numFmtId="0" fontId="12" fillId="4" borderId="3" xfId="0" applyFont="1" applyFill="1" applyBorder="1"/>
    <xf numFmtId="0" fontId="6" fillId="0" borderId="3" xfId="0" applyFont="1" applyFill="1" applyBorder="1"/>
    <xf numFmtId="49" fontId="6" fillId="2" borderId="3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8" fillId="4" borderId="4" xfId="0" applyFont="1" applyFill="1" applyBorder="1"/>
    <xf numFmtId="0" fontId="8" fillId="2" borderId="0" xfId="0" applyFont="1" applyFill="1"/>
    <xf numFmtId="0" fontId="8" fillId="4" borderId="0" xfId="0" applyFont="1" applyFill="1" applyBorder="1"/>
    <xf numFmtId="0" fontId="14" fillId="3" borderId="3" xfId="0" applyFont="1" applyFill="1" applyBorder="1" applyAlignment="1">
      <alignment wrapText="1"/>
    </xf>
    <xf numFmtId="164" fontId="14" fillId="3" borderId="3" xfId="1" applyNumberFormat="1" applyFont="1" applyFill="1" applyBorder="1"/>
    <xf numFmtId="0" fontId="15" fillId="4" borderId="3" xfId="0" applyFont="1" applyFill="1" applyBorder="1" applyAlignment="1">
      <alignment wrapText="1"/>
    </xf>
    <xf numFmtId="164" fontId="15" fillId="4" borderId="3" xfId="1" applyNumberFormat="1" applyFont="1" applyFill="1" applyBorder="1"/>
    <xf numFmtId="0" fontId="15" fillId="0" borderId="3" xfId="0" applyFont="1" applyBorder="1" applyAlignment="1">
      <alignment wrapText="1"/>
    </xf>
    <xf numFmtId="0" fontId="15" fillId="0" borderId="3" xfId="0" applyFont="1" applyBorder="1"/>
    <xf numFmtId="164" fontId="15" fillId="2" borderId="3" xfId="1" applyNumberFormat="1" applyFont="1" applyFill="1" applyBorder="1"/>
    <xf numFmtId="0" fontId="15" fillId="4" borderId="3" xfId="0" applyFont="1" applyFill="1" applyBorder="1"/>
    <xf numFmtId="164" fontId="5" fillId="3" borderId="4" xfId="1" applyNumberFormat="1" applyFont="1" applyFill="1" applyBorder="1"/>
    <xf numFmtId="0" fontId="16" fillId="4" borderId="4" xfId="0" applyFont="1" applyFill="1" applyBorder="1"/>
    <xf numFmtId="164" fontId="16" fillId="4" borderId="4" xfId="1" applyNumberFormat="1" applyFont="1" applyFill="1" applyBorder="1"/>
    <xf numFmtId="0" fontId="16" fillId="2" borderId="4" xfId="0" applyFont="1" applyFill="1" applyBorder="1"/>
    <xf numFmtId="165" fontId="16" fillId="2" borderId="3" xfId="0" applyNumberFormat="1" applyFont="1" applyFill="1" applyBorder="1"/>
    <xf numFmtId="165" fontId="16" fillId="2" borderId="4" xfId="0" applyNumberFormat="1" applyFont="1" applyFill="1" applyBorder="1"/>
    <xf numFmtId="164" fontId="16" fillId="2" borderId="4" xfId="1" applyNumberFormat="1" applyFont="1" applyFill="1" applyBorder="1"/>
    <xf numFmtId="0" fontId="16" fillId="2" borderId="3" xfId="0" applyFont="1" applyFill="1" applyBorder="1"/>
    <xf numFmtId="0" fontId="16" fillId="4" borderId="3" xfId="0" applyFont="1" applyFill="1" applyBorder="1"/>
    <xf numFmtId="165" fontId="16" fillId="4" borderId="3" xfId="0" applyNumberFormat="1" applyFont="1" applyFill="1" applyBorder="1"/>
    <xf numFmtId="0" fontId="16" fillId="2" borderId="3" xfId="0" applyNumberFormat="1" applyFont="1" applyFill="1" applyBorder="1"/>
    <xf numFmtId="165" fontId="16" fillId="4" borderId="4" xfId="0" applyNumberFormat="1" applyFont="1" applyFill="1" applyBorder="1"/>
    <xf numFmtId="0" fontId="5" fillId="3" borderId="3" xfId="0" applyFont="1" applyFill="1" applyBorder="1"/>
    <xf numFmtId="164" fontId="16" fillId="2" borderId="3" xfId="1" applyNumberFormat="1" applyFont="1" applyFill="1" applyBorder="1"/>
    <xf numFmtId="166" fontId="5" fillId="4" borderId="3" xfId="0" applyNumberFormat="1" applyFont="1" applyFill="1" applyBorder="1"/>
    <xf numFmtId="165" fontId="5" fillId="4" borderId="3" xfId="0" applyNumberFormat="1" applyFont="1" applyFill="1" applyBorder="1"/>
    <xf numFmtId="164" fontId="5" fillId="4" borderId="4" xfId="1" applyNumberFormat="1" applyFont="1" applyFill="1" applyBorder="1"/>
    <xf numFmtId="166" fontId="16" fillId="2" borderId="4" xfId="0" applyNumberFormat="1" applyFont="1" applyFill="1" applyBorder="1"/>
    <xf numFmtId="2" fontId="16" fillId="2" borderId="3" xfId="0" applyNumberFormat="1" applyFont="1" applyFill="1" applyBorder="1"/>
    <xf numFmtId="166" fontId="16" fillId="2" borderId="3" xfId="0" applyNumberFormat="1" applyFont="1" applyFill="1" applyBorder="1"/>
    <xf numFmtId="2" fontId="5" fillId="3" borderId="4" xfId="0" applyNumberFormat="1" applyFont="1" applyFill="1" applyBorder="1" applyAlignment="1">
      <alignment wrapText="1"/>
    </xf>
    <xf numFmtId="2" fontId="16" fillId="4" borderId="4" xfId="0" applyNumberFormat="1" applyFont="1" applyFill="1" applyBorder="1"/>
    <xf numFmtId="165" fontId="5" fillId="3" borderId="3" xfId="0" applyNumberFormat="1" applyFont="1" applyFill="1" applyBorder="1"/>
    <xf numFmtId="164" fontId="16" fillId="4" borderId="3" xfId="1" applyNumberFormat="1" applyFont="1" applyFill="1" applyBorder="1"/>
    <xf numFmtId="2" fontId="5" fillId="4" borderId="3" xfId="0" applyNumberFormat="1" applyFont="1" applyFill="1" applyBorder="1"/>
    <xf numFmtId="0" fontId="5" fillId="3" borderId="3" xfId="0" applyFont="1" applyFill="1" applyBorder="1" applyAlignment="1">
      <alignment wrapText="1"/>
    </xf>
    <xf numFmtId="164" fontId="5" fillId="3" borderId="3" xfId="1" applyNumberFormat="1" applyFont="1" applyFill="1" applyBorder="1"/>
    <xf numFmtId="164" fontId="5" fillId="4" borderId="3" xfId="1" applyNumberFormat="1" applyFont="1" applyFill="1" applyBorder="1"/>
    <xf numFmtId="0" fontId="5" fillId="4" borderId="3" xfId="0" applyFont="1" applyFill="1" applyBorder="1"/>
    <xf numFmtId="0" fontId="16" fillId="4" borderId="3" xfId="0" applyNumberFormat="1" applyFont="1" applyFill="1" applyBorder="1"/>
    <xf numFmtId="2" fontId="13" fillId="3" borderId="3" xfId="0" applyNumberFormat="1" applyFont="1" applyFill="1" applyBorder="1" applyAlignment="1">
      <alignment horizontal="right"/>
    </xf>
    <xf numFmtId="164" fontId="13" fillId="3" borderId="3" xfId="1" applyNumberFormat="1" applyFont="1" applyFill="1" applyBorder="1"/>
    <xf numFmtId="165" fontId="13" fillId="4" borderId="3" xfId="0" applyNumberFormat="1" applyFont="1" applyFill="1" applyBorder="1"/>
    <xf numFmtId="164" fontId="13" fillId="4" borderId="3" xfId="1" applyNumberFormat="1" applyFont="1" applyFill="1" applyBorder="1"/>
    <xf numFmtId="0" fontId="13" fillId="2" borderId="3" xfId="0" applyFont="1" applyFill="1" applyBorder="1"/>
    <xf numFmtId="2" fontId="13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/>
    <xf numFmtId="164" fontId="13" fillId="2" borderId="3" xfId="1" applyNumberFormat="1" applyFont="1" applyFill="1" applyBorder="1"/>
    <xf numFmtId="165" fontId="13" fillId="2" borderId="3" xfId="0" applyNumberFormat="1" applyFont="1" applyFill="1" applyBorder="1" applyAlignment="1">
      <alignment horizontal="right" vertical="center" wrapText="1"/>
    </xf>
    <xf numFmtId="0" fontId="13" fillId="4" borderId="3" xfId="0" applyFont="1" applyFill="1" applyBorder="1"/>
    <xf numFmtId="2" fontId="13" fillId="4" borderId="3" xfId="0" applyNumberFormat="1" applyFont="1" applyFill="1" applyBorder="1"/>
    <xf numFmtId="165" fontId="13" fillId="4" borderId="3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/>
    <xf numFmtId="166" fontId="13" fillId="3" borderId="3" xfId="0" applyNumberFormat="1" applyFont="1" applyFill="1" applyBorder="1"/>
    <xf numFmtId="0" fontId="13" fillId="3" borderId="3" xfId="0" applyFont="1" applyFill="1" applyBorder="1"/>
    <xf numFmtId="0" fontId="17" fillId="2" borderId="3" xfId="0" applyFont="1" applyFill="1" applyBorder="1"/>
    <xf numFmtId="0" fontId="13" fillId="0" borderId="3" xfId="0" applyFont="1" applyFill="1" applyBorder="1"/>
    <xf numFmtId="165" fontId="13" fillId="0" borderId="3" xfId="0" applyNumberFormat="1" applyFont="1" applyFill="1" applyBorder="1"/>
    <xf numFmtId="0" fontId="17" fillId="0" borderId="3" xfId="0" applyFont="1" applyFill="1" applyBorder="1"/>
    <xf numFmtId="166" fontId="13" fillId="5" borderId="3" xfId="0" applyNumberFormat="1" applyFont="1" applyFill="1" applyBorder="1"/>
    <xf numFmtId="0" fontId="13" fillId="5" borderId="3" xfId="0" applyFont="1" applyFill="1" applyBorder="1"/>
    <xf numFmtId="0" fontId="13" fillId="5" borderId="3" xfId="0" applyFont="1" applyFill="1" applyBorder="1" applyAlignment="1">
      <alignment horizontal="right"/>
    </xf>
    <xf numFmtId="165" fontId="13" fillId="5" borderId="3" xfId="0" applyNumberFormat="1" applyFont="1" applyFill="1" applyBorder="1"/>
    <xf numFmtId="164" fontId="13" fillId="5" borderId="3" xfId="1" applyNumberFormat="1" applyFont="1" applyFill="1" applyBorder="1"/>
    <xf numFmtId="166" fontId="13" fillId="2" borderId="3" xfId="0" applyNumberFormat="1" applyFont="1" applyFill="1" applyBorder="1"/>
    <xf numFmtId="166" fontId="13" fillId="2" borderId="3" xfId="0" applyNumberFormat="1" applyFont="1" applyFill="1" applyBorder="1" applyAlignment="1">
      <alignment horizontal="right" vertical="center" wrapText="1"/>
    </xf>
    <xf numFmtId="165" fontId="13" fillId="3" borderId="3" xfId="0" applyNumberFormat="1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166" fontId="13" fillId="3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2" fontId="16" fillId="4" borderId="3" xfId="0" applyNumberFormat="1" applyFont="1" applyFill="1" applyBorder="1"/>
    <xf numFmtId="49" fontId="15" fillId="2" borderId="3" xfId="0" applyNumberFormat="1" applyFont="1" applyFill="1" applyBorder="1" applyAlignment="1">
      <alignment horizontal="right"/>
    </xf>
    <xf numFmtId="166" fontId="16" fillId="4" borderId="3" xfId="0" applyNumberFormat="1" applyFont="1" applyFill="1" applyBorder="1"/>
    <xf numFmtId="0" fontId="16" fillId="2" borderId="5" xfId="0" applyFont="1" applyFill="1" applyBorder="1"/>
    <xf numFmtId="166" fontId="15" fillId="0" borderId="3" xfId="0" applyNumberFormat="1" applyFont="1" applyBorder="1"/>
    <xf numFmtId="165" fontId="19" fillId="0" borderId="0" xfId="0" applyNumberFormat="1" applyFont="1"/>
    <xf numFmtId="0" fontId="14" fillId="3" borderId="3" xfId="0" applyNumberFormat="1" applyFont="1" applyFill="1" applyBorder="1" applyAlignment="1">
      <alignment wrapText="1"/>
    </xf>
    <xf numFmtId="0" fontId="15" fillId="4" borderId="3" xfId="0" applyNumberFormat="1" applyFont="1" applyFill="1" applyBorder="1" applyAlignment="1">
      <alignment wrapText="1"/>
    </xf>
    <xf numFmtId="0" fontId="15" fillId="0" borderId="3" xfId="0" applyNumberFormat="1" applyFont="1" applyBorder="1"/>
    <xf numFmtId="0" fontId="15" fillId="4" borderId="3" xfId="0" applyNumberFormat="1" applyFont="1" applyFill="1" applyBorder="1"/>
    <xf numFmtId="165" fontId="0" fillId="0" borderId="0" xfId="0" applyNumberFormat="1"/>
    <xf numFmtId="2" fontId="5" fillId="3" borderId="3" xfId="0" applyNumberFormat="1" applyFont="1" applyFill="1" applyBorder="1" applyAlignment="1">
      <alignment wrapText="1"/>
    </xf>
    <xf numFmtId="0" fontId="12" fillId="6" borderId="3" xfId="0" applyFont="1" applyFill="1" applyBorder="1"/>
    <xf numFmtId="0" fontId="15" fillId="6" borderId="3" xfId="0" applyFont="1" applyFill="1" applyBorder="1"/>
    <xf numFmtId="0" fontId="8" fillId="0" borderId="7" xfId="0" applyFont="1" applyFill="1" applyBorder="1"/>
    <xf numFmtId="166" fontId="5" fillId="3" borderId="3" xfId="0" applyNumberFormat="1" applyFont="1" applyFill="1" applyBorder="1"/>
    <xf numFmtId="166" fontId="13" fillId="4" borderId="3" xfId="0" applyNumberFormat="1" applyFont="1" applyFill="1" applyBorder="1"/>
    <xf numFmtId="164" fontId="5" fillId="0" borderId="8" xfId="1" applyNumberFormat="1" applyFont="1" applyFill="1" applyBorder="1"/>
    <xf numFmtId="164" fontId="16" fillId="0" borderId="8" xfId="1" applyNumberFormat="1" applyFont="1" applyFill="1" applyBorder="1"/>
    <xf numFmtId="2" fontId="13" fillId="0" borderId="3" xfId="0" applyNumberFormat="1" applyFont="1" applyFill="1" applyBorder="1"/>
    <xf numFmtId="49" fontId="6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14" fillId="0" borderId="5" xfId="0" applyFont="1" applyFill="1" applyBorder="1" applyAlignment="1">
      <alignment wrapText="1"/>
    </xf>
    <xf numFmtId="165" fontId="5" fillId="0" borderId="5" xfId="0" applyNumberFormat="1" applyFont="1" applyFill="1" applyBorder="1"/>
    <xf numFmtId="166" fontId="14" fillId="3" borderId="3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6" fillId="0" borderId="0" xfId="0" applyFont="1"/>
    <xf numFmtId="0" fontId="8" fillId="0" borderId="0" xfId="0" applyFont="1" applyBorder="1"/>
    <xf numFmtId="0" fontId="8" fillId="2" borderId="8" xfId="0" applyFont="1" applyFill="1" applyBorder="1"/>
    <xf numFmtId="0" fontId="8" fillId="2" borderId="5" xfId="0" applyFont="1" applyFill="1" applyBorder="1"/>
    <xf numFmtId="0" fontId="8" fillId="0" borderId="5" xfId="0" applyFont="1" applyFill="1" applyBorder="1"/>
    <xf numFmtId="166" fontId="8" fillId="0" borderId="0" xfId="0" applyNumberFormat="1" applyFont="1"/>
    <xf numFmtId="166" fontId="0" fillId="0" borderId="0" xfId="0" applyNumberFormat="1"/>
    <xf numFmtId="165" fontId="16" fillId="0" borderId="8" xfId="0" applyNumberFormat="1" applyFont="1" applyFill="1" applyBorder="1"/>
    <xf numFmtId="167" fontId="6" fillId="2" borderId="3" xfId="0" applyNumberFormat="1" applyFont="1" applyFill="1" applyBorder="1"/>
    <xf numFmtId="0" fontId="6" fillId="2" borderId="3" xfId="0" applyFont="1" applyFill="1" applyBorder="1" applyAlignment="1">
      <alignment horizontal="left"/>
    </xf>
    <xf numFmtId="0" fontId="20" fillId="2" borderId="3" xfId="0" applyFont="1" applyFill="1" applyBorder="1"/>
    <xf numFmtId="167" fontId="11" fillId="2" borderId="3" xfId="0" applyNumberFormat="1" applyFont="1" applyFill="1" applyBorder="1"/>
    <xf numFmtId="166" fontId="13" fillId="5" borderId="3" xfId="0" applyNumberFormat="1" applyFont="1" applyFill="1" applyBorder="1" applyAlignment="1">
      <alignment horizontal="right"/>
    </xf>
    <xf numFmtId="165" fontId="15" fillId="0" borderId="3" xfId="0" applyNumberFormat="1" applyFont="1" applyBorder="1"/>
    <xf numFmtId="2" fontId="13" fillId="2" borderId="3" xfId="0" applyNumberFormat="1" applyFont="1" applyFill="1" applyBorder="1"/>
    <xf numFmtId="0" fontId="15" fillId="2" borderId="3" xfId="0" applyFont="1" applyFill="1" applyBorder="1"/>
    <xf numFmtId="0" fontId="6" fillId="2" borderId="3" xfId="0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vertical="top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8" fontId="5" fillId="3" borderId="3" xfId="0" applyNumberFormat="1" applyFont="1" applyFill="1" applyBorder="1" applyAlignment="1">
      <alignment wrapText="1"/>
    </xf>
    <xf numFmtId="168" fontId="5" fillId="3" borderId="3" xfId="1" applyNumberFormat="1" applyFont="1" applyFill="1" applyBorder="1"/>
    <xf numFmtId="168" fontId="16" fillId="4" borderId="3" xfId="0" applyNumberFormat="1" applyFont="1" applyFill="1" applyBorder="1"/>
    <xf numFmtId="168" fontId="16" fillId="4" borderId="3" xfId="1" applyNumberFormat="1" applyFont="1" applyFill="1" applyBorder="1"/>
    <xf numFmtId="168" fontId="16" fillId="2" borderId="3" xfId="0" applyNumberFormat="1" applyFont="1" applyFill="1" applyBorder="1"/>
    <xf numFmtId="168" fontId="16" fillId="2" borderId="3" xfId="1" applyNumberFormat="1" applyFont="1" applyFill="1" applyBorder="1"/>
    <xf numFmtId="168" fontId="16" fillId="2" borderId="4" xfId="0" applyNumberFormat="1" applyFont="1" applyFill="1" applyBorder="1"/>
    <xf numFmtId="168" fontId="16" fillId="2" borderId="4" xfId="1" applyNumberFormat="1" applyFont="1" applyFill="1" applyBorder="1"/>
    <xf numFmtId="168" fontId="16" fillId="4" borderId="4" xfId="1" applyNumberFormat="1" applyFont="1" applyFill="1" applyBorder="1"/>
    <xf numFmtId="168" fontId="16" fillId="4" borderId="4" xfId="0" applyNumberFormat="1" applyFont="1" applyFill="1" applyBorder="1"/>
    <xf numFmtId="168" fontId="5" fillId="3" borderId="3" xfId="0" applyNumberFormat="1" applyFont="1" applyFill="1" applyBorder="1"/>
    <xf numFmtId="168" fontId="5" fillId="3" borderId="4" xfId="1" applyNumberFormat="1" applyFont="1" applyFill="1" applyBorder="1"/>
    <xf numFmtId="168" fontId="15" fillId="0" borderId="3" xfId="0" applyNumberFormat="1" applyFont="1" applyBorder="1"/>
    <xf numFmtId="168" fontId="16" fillId="6" borderId="3" xfId="0" applyNumberFormat="1" applyFont="1" applyFill="1" applyBorder="1"/>
    <xf numFmtId="168" fontId="16" fillId="6" borderId="4" xfId="0" applyNumberFormat="1" applyFont="1" applyFill="1" applyBorder="1"/>
    <xf numFmtId="168" fontId="16" fillId="6" borderId="4" xfId="1" applyNumberFormat="1" applyFont="1" applyFill="1" applyBorder="1"/>
    <xf numFmtId="168" fontId="16" fillId="0" borderId="3" xfId="0" applyNumberFormat="1" applyFont="1" applyFill="1" applyBorder="1"/>
    <xf numFmtId="168" fontId="16" fillId="0" borderId="4" xfId="0" applyNumberFormat="1" applyFont="1" applyFill="1" applyBorder="1"/>
    <xf numFmtId="168" fontId="16" fillId="0" borderId="4" xfId="1" applyNumberFormat="1" applyFont="1" applyFill="1" applyBorder="1"/>
    <xf numFmtId="168" fontId="16" fillId="6" borderId="6" xfId="0" applyNumberFormat="1" applyFont="1" applyFill="1" applyBorder="1"/>
    <xf numFmtId="168" fontId="16" fillId="0" borderId="6" xfId="0" applyNumberFormat="1" applyFont="1" applyFill="1" applyBorder="1"/>
    <xf numFmtId="168" fontId="5" fillId="4" borderId="3" xfId="0" applyNumberFormat="1" applyFont="1" applyFill="1" applyBorder="1"/>
    <xf numFmtId="168" fontId="5" fillId="4" borderId="4" xfId="1" applyNumberFormat="1" applyFont="1" applyFill="1" applyBorder="1"/>
    <xf numFmtId="0" fontId="7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wrapText="1"/>
    </xf>
    <xf numFmtId="0" fontId="16" fillId="6" borderId="3" xfId="0" applyFont="1" applyFill="1" applyBorder="1"/>
    <xf numFmtId="0" fontId="16" fillId="0" borderId="3" xfId="0" applyFont="1" applyFill="1" applyBorder="1"/>
    <xf numFmtId="0" fontId="16" fillId="6" borderId="6" xfId="0" applyFont="1" applyFill="1" applyBorder="1"/>
    <xf numFmtId="0" fontId="5" fillId="4" borderId="3" xfId="0" applyNumberFormat="1" applyFont="1" applyFill="1" applyBorder="1"/>
    <xf numFmtId="0" fontId="5" fillId="7" borderId="3" xfId="0" applyFont="1" applyFill="1" applyBorder="1"/>
    <xf numFmtId="0" fontId="16" fillId="8" borderId="3" xfId="0" applyFont="1" applyFill="1" applyBorder="1"/>
    <xf numFmtId="0" fontId="16" fillId="9" borderId="3" xfId="0" applyFont="1" applyFill="1" applyBorder="1"/>
    <xf numFmtId="165" fontId="5" fillId="9" borderId="3" xfId="0" applyNumberFormat="1" applyFont="1" applyFill="1" applyBorder="1"/>
    <xf numFmtId="0" fontId="16" fillId="10" borderId="3" xfId="0" applyFont="1" applyFill="1" applyBorder="1"/>
    <xf numFmtId="164" fontId="16" fillId="10" borderId="3" xfId="1" applyNumberFormat="1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/>
    </xf>
    <xf numFmtId="165" fontId="13" fillId="9" borderId="3" xfId="0" applyNumberFormat="1" applyFont="1" applyFill="1" applyBorder="1"/>
    <xf numFmtId="0" fontId="13" fillId="9" borderId="3" xfId="0" applyFont="1" applyFill="1" applyBorder="1"/>
    <xf numFmtId="165" fontId="13" fillId="11" borderId="3" xfId="0" applyNumberFormat="1" applyFont="1" applyFill="1" applyBorder="1"/>
    <xf numFmtId="0" fontId="20" fillId="0" borderId="0" xfId="0" applyFont="1"/>
    <xf numFmtId="0" fontId="0" fillId="0" borderId="3" xfId="0" applyBorder="1"/>
    <xf numFmtId="0" fontId="15" fillId="9" borderId="3" xfId="0" applyFont="1" applyFill="1" applyBorder="1" applyAlignment="1">
      <alignment wrapText="1"/>
    </xf>
    <xf numFmtId="0" fontId="15" fillId="9" borderId="3" xfId="0" applyNumberFormat="1" applyFont="1" applyFill="1" applyBorder="1" applyAlignment="1">
      <alignment wrapText="1"/>
    </xf>
    <xf numFmtId="164" fontId="15" fillId="9" borderId="3" xfId="1" applyNumberFormat="1" applyFont="1" applyFill="1" applyBorder="1"/>
    <xf numFmtId="0" fontId="8" fillId="7" borderId="3" xfId="0" applyFont="1" applyFill="1" applyBorder="1"/>
    <xf numFmtId="10" fontId="5" fillId="3" borderId="3" xfId="1" applyNumberFormat="1" applyFont="1" applyFill="1" applyBorder="1"/>
    <xf numFmtId="10" fontId="16" fillId="4" borderId="3" xfId="1" applyNumberFormat="1" applyFont="1" applyFill="1" applyBorder="1"/>
    <xf numFmtId="10" fontId="16" fillId="2" borderId="3" xfId="1" applyNumberFormat="1" applyFont="1" applyFill="1" applyBorder="1"/>
    <xf numFmtId="10" fontId="16" fillId="2" borderId="4" xfId="1" applyNumberFormat="1" applyFont="1" applyFill="1" applyBorder="1"/>
    <xf numFmtId="10" fontId="16" fillId="4" borderId="4" xfId="1" applyNumberFormat="1" applyFont="1" applyFill="1" applyBorder="1"/>
    <xf numFmtId="10" fontId="5" fillId="3" borderId="4" xfId="1" applyNumberFormat="1" applyFont="1" applyFill="1" applyBorder="1"/>
    <xf numFmtId="10" fontId="16" fillId="6" borderId="4" xfId="1" applyNumberFormat="1" applyFont="1" applyFill="1" applyBorder="1"/>
    <xf numFmtId="10" fontId="16" fillId="0" borderId="4" xfId="1" applyNumberFormat="1" applyFont="1" applyFill="1" applyBorder="1"/>
    <xf numFmtId="10" fontId="5" fillId="4" borderId="4" xfId="1" applyNumberFormat="1" applyFont="1" applyFill="1" applyBorder="1"/>
    <xf numFmtId="164" fontId="16" fillId="6" borderId="4" xfId="1" applyNumberFormat="1" applyFont="1" applyFill="1" applyBorder="1"/>
    <xf numFmtId="164" fontId="16" fillId="0" borderId="4" xfId="1" applyNumberFormat="1" applyFont="1" applyFill="1" applyBorder="1"/>
    <xf numFmtId="164" fontId="16" fillId="4" borderId="3" xfId="0" applyNumberFormat="1" applyFont="1" applyFill="1" applyBorder="1"/>
    <xf numFmtId="169" fontId="16" fillId="4" borderId="3" xfId="0" applyNumberFormat="1" applyFont="1" applyFill="1" applyBorder="1"/>
    <xf numFmtId="169" fontId="16" fillId="4" borderId="4" xfId="0" applyNumberFormat="1" applyFont="1" applyFill="1" applyBorder="1"/>
    <xf numFmtId="169" fontId="5" fillId="4" borderId="3" xfId="0" applyNumberFormat="1" applyFont="1" applyFill="1" applyBorder="1"/>
    <xf numFmtId="169" fontId="5" fillId="3" borderId="3" xfId="0" applyNumberFormat="1" applyFont="1" applyFill="1" applyBorder="1"/>
    <xf numFmtId="0" fontId="16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zoomScaleNormal="100" zoomScaleSheetLayoutView="5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R23" sqref="R23"/>
    </sheetView>
  </sheetViews>
  <sheetFormatPr defaultRowHeight="12.75" x14ac:dyDescent="0.2"/>
  <cols>
    <col min="1" max="1" width="40.85546875" customWidth="1"/>
    <col min="2" max="2" width="14" customWidth="1"/>
    <col min="3" max="3" width="16" customWidth="1"/>
    <col min="4" max="4" width="14.42578125" customWidth="1"/>
    <col min="5" max="5" width="15" customWidth="1"/>
    <col min="6" max="6" width="11.85546875" hidden="1" customWidth="1"/>
    <col min="7" max="7" width="13" customWidth="1"/>
    <col min="8" max="8" width="12.5703125" customWidth="1"/>
    <col min="9" max="9" width="13" customWidth="1"/>
    <col min="10" max="10" width="10.85546875" hidden="1" customWidth="1"/>
    <col min="11" max="11" width="13.42578125" customWidth="1"/>
    <col min="12" max="12" width="11.85546875" customWidth="1"/>
    <col min="13" max="13" width="12.85546875" customWidth="1"/>
    <col min="14" max="14" width="13" customWidth="1"/>
    <col min="15" max="15" width="14.7109375" customWidth="1"/>
    <col min="16" max="16" width="12.5703125" customWidth="1"/>
    <col min="17" max="17" width="11.85546875" customWidth="1"/>
    <col min="18" max="18" width="10.7109375" customWidth="1"/>
    <col min="19" max="19" width="12.85546875" customWidth="1"/>
  </cols>
  <sheetData>
    <row r="1" spans="1:19" ht="24.75" customHeight="1" x14ac:dyDescent="0.25">
      <c r="A1" s="242" t="s">
        <v>130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9" ht="20.25" customHeight="1" x14ac:dyDescent="0.2">
      <c r="A2" s="241" t="s">
        <v>28</v>
      </c>
      <c r="B2" s="241" t="s">
        <v>4</v>
      </c>
      <c r="C2" s="241" t="s">
        <v>124</v>
      </c>
      <c r="D2" s="241" t="s">
        <v>24</v>
      </c>
      <c r="E2" s="241" t="s">
        <v>125</v>
      </c>
      <c r="F2" s="241" t="s">
        <v>99</v>
      </c>
      <c r="G2" s="241" t="s">
        <v>128</v>
      </c>
      <c r="H2" s="241" t="s">
        <v>123</v>
      </c>
      <c r="I2" s="241"/>
      <c r="J2" s="241"/>
      <c r="K2" s="241" t="s">
        <v>117</v>
      </c>
      <c r="L2" s="241"/>
      <c r="M2" s="241" t="s">
        <v>131</v>
      </c>
      <c r="N2" s="241" t="s">
        <v>132</v>
      </c>
      <c r="O2" s="241" t="s">
        <v>30</v>
      </c>
      <c r="P2" s="241" t="s">
        <v>9</v>
      </c>
      <c r="Q2" s="241"/>
      <c r="R2" s="241"/>
    </row>
    <row r="3" spans="1:19" ht="97.5" customHeight="1" x14ac:dyDescent="0.2">
      <c r="A3" s="241"/>
      <c r="B3" s="241"/>
      <c r="C3" s="241"/>
      <c r="D3" s="241"/>
      <c r="E3" s="241"/>
      <c r="F3" s="241"/>
      <c r="G3" s="241"/>
      <c r="H3" s="212" t="s">
        <v>133</v>
      </c>
      <c r="I3" s="171" t="s">
        <v>10</v>
      </c>
      <c r="J3" s="171" t="s">
        <v>29</v>
      </c>
      <c r="K3" s="212" t="s">
        <v>133</v>
      </c>
      <c r="L3" s="171" t="s">
        <v>30</v>
      </c>
      <c r="M3" s="241"/>
      <c r="N3" s="241"/>
      <c r="O3" s="241"/>
      <c r="P3" s="121" t="s">
        <v>122</v>
      </c>
      <c r="Q3" s="121" t="s">
        <v>129</v>
      </c>
      <c r="R3" s="121" t="s">
        <v>134</v>
      </c>
      <c r="S3" s="172"/>
    </row>
    <row r="4" spans="1:19" ht="18.75" x14ac:dyDescent="0.3">
      <c r="A4" s="35" t="s">
        <v>21</v>
      </c>
      <c r="B4" s="36"/>
      <c r="C4" s="55">
        <f t="shared" ref="C4:H4" si="0">C5+C11+C16+C22+C23+C24</f>
        <v>76482.7</v>
      </c>
      <c r="D4" s="55">
        <f t="shared" si="0"/>
        <v>0</v>
      </c>
      <c r="E4" s="55">
        <f t="shared" si="0"/>
        <v>76482.7</v>
      </c>
      <c r="F4" s="55">
        <f t="shared" si="0"/>
        <v>28287.7</v>
      </c>
      <c r="G4" s="55">
        <f t="shared" si="0"/>
        <v>69330.600000000006</v>
      </c>
      <c r="H4" s="55">
        <f t="shared" si="0"/>
        <v>71321</v>
      </c>
      <c r="I4" s="56">
        <f>IF(E4&gt;0,H4/E4,0)</f>
        <v>0.93251153528837238</v>
      </c>
      <c r="J4" s="56">
        <f>IF(F4&gt;0,H4/F4,0)</f>
        <v>2.521272496526759</v>
      </c>
      <c r="K4" s="55">
        <f>K5+K11+K16+K22+K23+K24</f>
        <v>56970</v>
      </c>
      <c r="L4" s="56">
        <f t="shared" ref="L4:L54" si="1">IF(K4&gt;0,H4/K4,0)</f>
        <v>1.2519045111462173</v>
      </c>
      <c r="M4" s="55">
        <f>M5+M11+M16+M22+M23+M24</f>
        <v>1990.4</v>
      </c>
      <c r="N4" s="55">
        <f>N5+N11+N16+N22+N23+N24</f>
        <v>2613.6999999999998</v>
      </c>
      <c r="O4" s="56">
        <f t="shared" ref="O4:O54" si="2">IF(N4&gt;0,M4/N4,0)</f>
        <v>0.76152580632819389</v>
      </c>
      <c r="P4" s="55">
        <f>P5+P11+P16+P22+P23+P24</f>
        <v>3350.7</v>
      </c>
      <c r="Q4" s="55">
        <f>Q5+Q11+Q16+Q22+Q23+Q24</f>
        <v>2616.5</v>
      </c>
      <c r="R4" s="55">
        <f>R5+R11+R16+R22+R23+R24</f>
        <v>2399.3999999999996</v>
      </c>
    </row>
    <row r="5" spans="1:19" ht="18.75" x14ac:dyDescent="0.3">
      <c r="A5" s="37" t="s">
        <v>63</v>
      </c>
      <c r="B5" s="38">
        <v>1010200001</v>
      </c>
      <c r="C5" s="57">
        <f>SUM(C6:C10)</f>
        <v>20026.899999999998</v>
      </c>
      <c r="D5" s="57">
        <f>SUM(D6:D10)</f>
        <v>0</v>
      </c>
      <c r="E5" s="57">
        <f>SUM(E6:E10)</f>
        <v>20026.899999999998</v>
      </c>
      <c r="F5" s="57">
        <f t="shared" ref="F5" si="3">SUM(F6:F8)</f>
        <v>9897.8000000000011</v>
      </c>
      <c r="G5" s="57">
        <f>SUM(G6:G10)</f>
        <v>14245.6</v>
      </c>
      <c r="H5" s="57">
        <f>SUM(H6:H10)</f>
        <v>16024.3</v>
      </c>
      <c r="I5" s="58">
        <f>IF(E5&gt;0,H5/E5,0)</f>
        <v>0.8001388132961168</v>
      </c>
      <c r="J5" s="58">
        <f>IF(F5&gt;0,H5/F5,0)</f>
        <v>1.6189759340459493</v>
      </c>
      <c r="K5" s="57">
        <f>SUM(K6:K10)</f>
        <v>13354.900000000001</v>
      </c>
      <c r="L5" s="58">
        <f t="shared" si="1"/>
        <v>1.1998816913642183</v>
      </c>
      <c r="M5" s="57">
        <f>SUM(M6:M10)</f>
        <v>1778.7</v>
      </c>
      <c r="N5" s="57">
        <f>SUM(N6:N10)</f>
        <v>1485.1999999999998</v>
      </c>
      <c r="O5" s="58">
        <f t="shared" si="2"/>
        <v>1.1976164826286024</v>
      </c>
      <c r="P5" s="57">
        <f>SUM(P6:P10)</f>
        <v>415.6</v>
      </c>
      <c r="Q5" s="57">
        <f t="shared" ref="Q5:R5" si="4">SUM(Q6:Q10)</f>
        <v>353.9</v>
      </c>
      <c r="R5" s="57">
        <f t="shared" si="4"/>
        <v>381.2</v>
      </c>
    </row>
    <row r="6" spans="1:19" ht="18.75" customHeight="1" x14ac:dyDescent="0.3">
      <c r="A6" s="40" t="s">
        <v>40</v>
      </c>
      <c r="B6" s="8">
        <v>1010201001</v>
      </c>
      <c r="C6" s="173">
        <v>19648.599999999999</v>
      </c>
      <c r="D6" s="60"/>
      <c r="E6" s="60">
        <f>C6+D6</f>
        <v>19648.599999999999</v>
      </c>
      <c r="F6" s="60">
        <f>2700+346+3300+3328.7+150</f>
        <v>9824.7000000000007</v>
      </c>
      <c r="G6" s="60">
        <v>13920.1</v>
      </c>
      <c r="H6" s="60">
        <f>G6+M6</f>
        <v>15683.9</v>
      </c>
      <c r="I6" s="61">
        <f t="shared" ref="I6:I54" si="5">IF(E6&gt;0,H6/E6,0)</f>
        <v>0.79821972048899159</v>
      </c>
      <c r="J6" s="61">
        <f t="shared" ref="J6:J54" si="6">IF(F6&gt;0,H6/F6,0)</f>
        <v>1.5963744440033791</v>
      </c>
      <c r="K6" s="60">
        <v>13020.6</v>
      </c>
      <c r="L6" s="61">
        <f t="shared" si="1"/>
        <v>1.2045451054482896</v>
      </c>
      <c r="M6" s="60">
        <v>1763.8</v>
      </c>
      <c r="N6" s="60">
        <v>1453.1</v>
      </c>
      <c r="O6" s="61">
        <f t="shared" si="2"/>
        <v>1.213818732365288</v>
      </c>
      <c r="P6" s="60">
        <v>276.10000000000002</v>
      </c>
      <c r="Q6" s="60">
        <v>220.3</v>
      </c>
      <c r="R6" s="60">
        <v>195.7</v>
      </c>
    </row>
    <row r="7" spans="1:19" ht="21" customHeight="1" x14ac:dyDescent="0.3">
      <c r="A7" s="40" t="s">
        <v>41</v>
      </c>
      <c r="B7" s="8">
        <v>1010202001</v>
      </c>
      <c r="C7" s="173">
        <v>114</v>
      </c>
      <c r="D7" s="60"/>
      <c r="E7" s="60">
        <f t="shared" ref="E7:E24" si="7">C7+D7</f>
        <v>114</v>
      </c>
      <c r="F7" s="60">
        <f>26.1</f>
        <v>26.1</v>
      </c>
      <c r="G7" s="60">
        <v>87.8</v>
      </c>
      <c r="H7" s="60">
        <f>G7+M7</f>
        <v>87.8</v>
      </c>
      <c r="I7" s="61">
        <f t="shared" si="5"/>
        <v>0.77017543859649118</v>
      </c>
      <c r="J7" s="61">
        <f t="shared" si="6"/>
        <v>3.3639846743295014</v>
      </c>
      <c r="K7" s="60">
        <v>76.099999999999994</v>
      </c>
      <c r="L7" s="61">
        <f t="shared" si="1"/>
        <v>1.1537450722733247</v>
      </c>
      <c r="M7" s="60"/>
      <c r="N7" s="60"/>
      <c r="O7" s="61">
        <f t="shared" si="2"/>
        <v>0</v>
      </c>
      <c r="P7" s="60"/>
      <c r="Q7" s="60"/>
      <c r="R7" s="60"/>
    </row>
    <row r="8" spans="1:19" ht="21" customHeight="1" x14ac:dyDescent="0.3">
      <c r="A8" s="40" t="s">
        <v>42</v>
      </c>
      <c r="B8" s="8">
        <v>1010203001</v>
      </c>
      <c r="C8" s="173">
        <v>264.3</v>
      </c>
      <c r="D8" s="60"/>
      <c r="E8" s="60">
        <f t="shared" si="7"/>
        <v>264.3</v>
      </c>
      <c r="F8" s="60">
        <f>2+45</f>
        <v>47</v>
      </c>
      <c r="G8" s="60">
        <v>151</v>
      </c>
      <c r="H8" s="60">
        <f>G8+M8</f>
        <v>162.5</v>
      </c>
      <c r="I8" s="61">
        <f t="shared" si="5"/>
        <v>0.61483163072266356</v>
      </c>
      <c r="J8" s="61">
        <f t="shared" si="6"/>
        <v>3.4574468085106385</v>
      </c>
      <c r="K8" s="60">
        <v>254.7</v>
      </c>
      <c r="L8" s="61">
        <f t="shared" si="1"/>
        <v>0.63800549666274053</v>
      </c>
      <c r="M8" s="60">
        <v>11.5</v>
      </c>
      <c r="N8" s="60">
        <v>32.1</v>
      </c>
      <c r="O8" s="61">
        <f t="shared" si="2"/>
        <v>0.35825545171339562</v>
      </c>
      <c r="P8" s="60">
        <v>128.19999999999999</v>
      </c>
      <c r="Q8" s="60">
        <v>133.6</v>
      </c>
      <c r="R8" s="60">
        <v>185.5</v>
      </c>
    </row>
    <row r="9" spans="1:19" ht="21" customHeight="1" x14ac:dyDescent="0.3">
      <c r="A9" s="40" t="s">
        <v>118</v>
      </c>
      <c r="B9" s="8">
        <v>1010208001</v>
      </c>
      <c r="C9" s="59"/>
      <c r="D9" s="60"/>
      <c r="E9" s="60">
        <f t="shared" si="7"/>
        <v>0</v>
      </c>
      <c r="F9" s="60"/>
      <c r="G9" s="60"/>
      <c r="H9" s="60">
        <f>G9+M9</f>
        <v>0</v>
      </c>
      <c r="I9" s="61">
        <f t="shared" ref="I9" si="8">IF(E9&gt;0,H9/E9,0)</f>
        <v>0</v>
      </c>
      <c r="J9" s="61"/>
      <c r="K9" s="60">
        <v>3.3</v>
      </c>
      <c r="L9" s="61">
        <f t="shared" si="1"/>
        <v>0</v>
      </c>
      <c r="M9" s="60"/>
      <c r="N9" s="60"/>
      <c r="O9" s="61">
        <f t="shared" si="2"/>
        <v>0</v>
      </c>
      <c r="P9" s="60"/>
      <c r="Q9" s="60"/>
      <c r="R9" s="60"/>
    </row>
    <row r="10" spans="1:19" ht="30.75" customHeight="1" x14ac:dyDescent="0.3">
      <c r="A10" s="40" t="s">
        <v>121</v>
      </c>
      <c r="B10" s="8">
        <v>1010213001</v>
      </c>
      <c r="C10" s="59"/>
      <c r="D10" s="60"/>
      <c r="E10" s="60">
        <f t="shared" si="7"/>
        <v>0</v>
      </c>
      <c r="F10" s="60"/>
      <c r="G10" s="60">
        <v>86.7</v>
      </c>
      <c r="H10" s="60">
        <f>G10+M10</f>
        <v>90.100000000000009</v>
      </c>
      <c r="I10" s="61">
        <f t="shared" ref="I10" si="9">IF(E10&gt;0,H10/E10,0)</f>
        <v>0</v>
      </c>
      <c r="J10" s="61"/>
      <c r="K10" s="60">
        <v>0.2</v>
      </c>
      <c r="L10" s="61">
        <f t="shared" si="1"/>
        <v>450.5</v>
      </c>
      <c r="M10" s="60">
        <v>3.4</v>
      </c>
      <c r="N10" s="60"/>
      <c r="O10" s="61">
        <f t="shared" si="2"/>
        <v>0</v>
      </c>
      <c r="P10" s="60">
        <v>11.3</v>
      </c>
      <c r="Q10" s="60">
        <v>0</v>
      </c>
      <c r="R10" s="60"/>
    </row>
    <row r="11" spans="1:19" ht="18" customHeight="1" x14ac:dyDescent="0.3">
      <c r="A11" s="37" t="s">
        <v>48</v>
      </c>
      <c r="B11" s="39">
        <v>1030200001</v>
      </c>
      <c r="C11" s="57">
        <f t="shared" ref="C11:H11" si="10">SUM(C12:C15)</f>
        <v>10528.3</v>
      </c>
      <c r="D11" s="57">
        <f t="shared" si="10"/>
        <v>0</v>
      </c>
      <c r="E11" s="57">
        <f t="shared" si="10"/>
        <v>10528.3</v>
      </c>
      <c r="F11" s="57">
        <f>925+200+490+1350+1800</f>
        <v>4765</v>
      </c>
      <c r="G11" s="57">
        <f>SUM(G12:G15)</f>
        <v>7437.9</v>
      </c>
      <c r="H11" s="57">
        <f t="shared" si="10"/>
        <v>7528.2</v>
      </c>
      <c r="I11" s="58">
        <f t="shared" si="5"/>
        <v>0.7150442141656298</v>
      </c>
      <c r="J11" s="58">
        <f t="shared" si="6"/>
        <v>1.5798950682056663</v>
      </c>
      <c r="K11" s="57">
        <f>SUM(K12:K15)</f>
        <v>7706.5000000000009</v>
      </c>
      <c r="L11" s="58">
        <f t="shared" si="1"/>
        <v>0.97686368649841027</v>
      </c>
      <c r="M11" s="57">
        <f>SUM(M12:M15)</f>
        <v>90.300000000000011</v>
      </c>
      <c r="N11" s="57">
        <f>SUM(N12:N15)</f>
        <v>896.8</v>
      </c>
      <c r="O11" s="58">
        <f t="shared" si="2"/>
        <v>0.10069134701159681</v>
      </c>
      <c r="P11" s="57">
        <f>SUM(P12:P15)</f>
        <v>0</v>
      </c>
      <c r="Q11" s="57">
        <f>SUM(Q12:Q15)</f>
        <v>0</v>
      </c>
      <c r="R11" s="57">
        <f>SUM(R12:R15)</f>
        <v>0</v>
      </c>
    </row>
    <row r="12" spans="1:19" ht="18.75" x14ac:dyDescent="0.3">
      <c r="A12" s="41" t="s">
        <v>49</v>
      </c>
      <c r="B12" s="41">
        <v>1030223101</v>
      </c>
      <c r="C12" s="173">
        <v>5490.9</v>
      </c>
      <c r="D12" s="60"/>
      <c r="E12" s="60">
        <f t="shared" si="7"/>
        <v>5490.9</v>
      </c>
      <c r="F12" s="60"/>
      <c r="G12" s="60">
        <v>3822.7</v>
      </c>
      <c r="H12" s="60">
        <f>G12+M12</f>
        <v>3906.2999999999997</v>
      </c>
      <c r="I12" s="61">
        <f t="shared" si="5"/>
        <v>0.71141342949243291</v>
      </c>
      <c r="J12" s="61">
        <f t="shared" si="6"/>
        <v>0</v>
      </c>
      <c r="K12" s="60">
        <v>3947.5</v>
      </c>
      <c r="L12" s="61">
        <f t="shared" si="1"/>
        <v>0.98956301456618101</v>
      </c>
      <c r="M12" s="60">
        <v>83.6</v>
      </c>
      <c r="N12" s="60">
        <v>453.1</v>
      </c>
      <c r="O12" s="61">
        <f t="shared" si="2"/>
        <v>0.18450673140587065</v>
      </c>
      <c r="P12" s="60"/>
      <c r="Q12" s="60"/>
      <c r="R12" s="60"/>
    </row>
    <row r="13" spans="1:19" ht="18.75" x14ac:dyDescent="0.3">
      <c r="A13" s="41" t="s">
        <v>50</v>
      </c>
      <c r="B13" s="41">
        <v>1030224101</v>
      </c>
      <c r="C13" s="173">
        <v>26.2</v>
      </c>
      <c r="D13" s="60"/>
      <c r="E13" s="60">
        <f t="shared" si="7"/>
        <v>26.2</v>
      </c>
      <c r="F13" s="60"/>
      <c r="G13" s="60">
        <v>22.6</v>
      </c>
      <c r="H13" s="60">
        <f>G13+M13</f>
        <v>22.400000000000002</v>
      </c>
      <c r="I13" s="61">
        <f t="shared" si="5"/>
        <v>0.85496183206106879</v>
      </c>
      <c r="J13" s="61">
        <f t="shared" si="6"/>
        <v>0</v>
      </c>
      <c r="K13" s="60">
        <v>21.4</v>
      </c>
      <c r="L13" s="61">
        <f t="shared" si="1"/>
        <v>1.0467289719626169</v>
      </c>
      <c r="M13" s="60">
        <v>-0.2</v>
      </c>
      <c r="N13" s="60">
        <v>2.7</v>
      </c>
      <c r="O13" s="61">
        <f t="shared" si="2"/>
        <v>-7.407407407407407E-2</v>
      </c>
      <c r="P13" s="60"/>
      <c r="Q13" s="60"/>
      <c r="R13" s="60"/>
    </row>
    <row r="14" spans="1:19" ht="18.75" customHeight="1" x14ac:dyDescent="0.3">
      <c r="A14" s="41" t="s">
        <v>51</v>
      </c>
      <c r="B14" s="41">
        <v>1030225101</v>
      </c>
      <c r="C14" s="173">
        <v>5693.5</v>
      </c>
      <c r="D14" s="60"/>
      <c r="E14" s="60">
        <f t="shared" si="7"/>
        <v>5693.5</v>
      </c>
      <c r="F14" s="60"/>
      <c r="G14" s="60">
        <v>4027.4</v>
      </c>
      <c r="H14" s="60">
        <f>G14+M14</f>
        <v>4103.8</v>
      </c>
      <c r="I14" s="61">
        <f t="shared" si="5"/>
        <v>0.72078686221129362</v>
      </c>
      <c r="J14" s="61">
        <f t="shared" si="6"/>
        <v>0</v>
      </c>
      <c r="K14" s="60">
        <v>4200.8</v>
      </c>
      <c r="L14" s="61">
        <f t="shared" si="1"/>
        <v>0.97690916015996954</v>
      </c>
      <c r="M14" s="60">
        <v>76.400000000000006</v>
      </c>
      <c r="N14" s="60">
        <v>494.7</v>
      </c>
      <c r="O14" s="61">
        <f t="shared" si="2"/>
        <v>0.15443703254497676</v>
      </c>
      <c r="P14" s="60"/>
      <c r="Q14" s="60"/>
      <c r="R14" s="60"/>
    </row>
    <row r="15" spans="1:19" ht="18.75" customHeight="1" x14ac:dyDescent="0.3">
      <c r="A15" s="41" t="s">
        <v>52</v>
      </c>
      <c r="B15" s="41">
        <v>1030226101</v>
      </c>
      <c r="C15" s="173">
        <v>-682.3</v>
      </c>
      <c r="D15" s="60"/>
      <c r="E15" s="60">
        <f t="shared" si="7"/>
        <v>-682.3</v>
      </c>
      <c r="F15" s="60"/>
      <c r="G15" s="60">
        <v>-434.8</v>
      </c>
      <c r="H15" s="60">
        <f>G15+M15</f>
        <v>-504.3</v>
      </c>
      <c r="I15" s="61">
        <f>H15/E15</f>
        <v>0.73911769016561635</v>
      </c>
      <c r="J15" s="61">
        <f t="shared" si="6"/>
        <v>0</v>
      </c>
      <c r="K15" s="60">
        <v>-463.2</v>
      </c>
      <c r="L15" s="61">
        <f t="shared" si="1"/>
        <v>0</v>
      </c>
      <c r="M15" s="60">
        <v>-69.5</v>
      </c>
      <c r="N15" s="60">
        <v>-53.7</v>
      </c>
      <c r="O15" s="61">
        <f t="shared" si="2"/>
        <v>0</v>
      </c>
      <c r="P15" s="60"/>
      <c r="Q15" s="60"/>
      <c r="R15" s="60"/>
    </row>
    <row r="16" spans="1:19" ht="18.75" x14ac:dyDescent="0.3">
      <c r="A16" s="37" t="s">
        <v>55</v>
      </c>
      <c r="B16" s="38">
        <v>1050000000</v>
      </c>
      <c r="C16" s="57">
        <f t="shared" ref="C16:H16" si="11">SUM(C17:C21)</f>
        <v>36977.5</v>
      </c>
      <c r="D16" s="57">
        <f t="shared" si="11"/>
        <v>0</v>
      </c>
      <c r="E16" s="57">
        <f t="shared" si="11"/>
        <v>36977.5</v>
      </c>
      <c r="F16" s="57">
        <f t="shared" si="11"/>
        <v>11352.9</v>
      </c>
      <c r="G16" s="57">
        <f>G17+G18+G19+G20+G21</f>
        <v>39236.200000000004</v>
      </c>
      <c r="H16" s="57">
        <f t="shared" si="11"/>
        <v>39165.1</v>
      </c>
      <c r="I16" s="58">
        <f t="shared" si="5"/>
        <v>1.0591603001825434</v>
      </c>
      <c r="J16" s="58">
        <f t="shared" si="6"/>
        <v>3.4497881598534295</v>
      </c>
      <c r="K16" s="57">
        <f>K17+K18+K19+K20+K21</f>
        <v>29271.600000000002</v>
      </c>
      <c r="L16" s="58">
        <f t="shared" si="1"/>
        <v>1.337989723827874</v>
      </c>
      <c r="M16" s="57">
        <f>M17+M18+M19+M20+M21</f>
        <v>-71.099999999999994</v>
      </c>
      <c r="N16" s="57">
        <f>N17+N18+N19+N20+N21</f>
        <v>198.39999999999998</v>
      </c>
      <c r="O16" s="58">
        <f t="shared" si="2"/>
        <v>-0.358366935483871</v>
      </c>
      <c r="P16" s="57">
        <f>SUM(P17:P21)</f>
        <v>2819.1</v>
      </c>
      <c r="Q16" s="57">
        <f>SUM(Q17:Q21)</f>
        <v>2239.1</v>
      </c>
      <c r="R16" s="57">
        <f>SUM(R17:R21)</f>
        <v>2018.1999999999998</v>
      </c>
    </row>
    <row r="17" spans="1:20" ht="18.75" x14ac:dyDescent="0.3">
      <c r="A17" s="40" t="s">
        <v>53</v>
      </c>
      <c r="B17" s="8">
        <v>1050101001</v>
      </c>
      <c r="C17" s="173">
        <v>25500</v>
      </c>
      <c r="D17" s="60"/>
      <c r="E17" s="60">
        <f t="shared" si="7"/>
        <v>25500</v>
      </c>
      <c r="F17" s="60">
        <f>1100+1131+3100+350+1370</f>
        <v>7051</v>
      </c>
      <c r="G17" s="60">
        <v>29469.3</v>
      </c>
      <c r="H17" s="60">
        <f t="shared" ref="H17:H24" si="12">G17+M17</f>
        <v>29623.3</v>
      </c>
      <c r="I17" s="61">
        <f t="shared" si="5"/>
        <v>1.1616980392156862</v>
      </c>
      <c r="J17" s="61">
        <f t="shared" si="6"/>
        <v>4.2012905970784287</v>
      </c>
      <c r="K17" s="60">
        <v>20161.3</v>
      </c>
      <c r="L17" s="61">
        <f t="shared" si="1"/>
        <v>1.4693149747288121</v>
      </c>
      <c r="M17" s="60">
        <v>154</v>
      </c>
      <c r="N17" s="60">
        <v>242</v>
      </c>
      <c r="O17" s="61">
        <f t="shared" si="2"/>
        <v>0.63636363636363635</v>
      </c>
      <c r="P17" s="60">
        <v>2169</v>
      </c>
      <c r="Q17" s="60">
        <v>1790.8</v>
      </c>
      <c r="R17" s="60">
        <v>1636.1</v>
      </c>
    </row>
    <row r="18" spans="1:20" ht="18.75" x14ac:dyDescent="0.3">
      <c r="A18" s="40" t="s">
        <v>54</v>
      </c>
      <c r="B18" s="8">
        <v>1050102001</v>
      </c>
      <c r="C18" s="173">
        <v>10200</v>
      </c>
      <c r="D18" s="60"/>
      <c r="E18" s="60">
        <f t="shared" si="7"/>
        <v>10200</v>
      </c>
      <c r="F18" s="60">
        <f>100+159+500+350+400</f>
        <v>1509</v>
      </c>
      <c r="G18" s="60">
        <v>7553</v>
      </c>
      <c r="H18" s="60">
        <f t="shared" si="12"/>
        <v>7313.4</v>
      </c>
      <c r="I18" s="61">
        <f t="shared" si="5"/>
        <v>0.71699999999999997</v>
      </c>
      <c r="J18" s="61">
        <f t="shared" si="6"/>
        <v>4.8465208747514907</v>
      </c>
      <c r="K18" s="60">
        <v>8395.6</v>
      </c>
      <c r="L18" s="61">
        <f t="shared" si="1"/>
        <v>0.87109914717232828</v>
      </c>
      <c r="M18" s="60">
        <v>-239.6</v>
      </c>
      <c r="N18" s="60">
        <v>-64.8</v>
      </c>
      <c r="O18" s="61">
        <f t="shared" si="2"/>
        <v>0</v>
      </c>
      <c r="P18" s="60">
        <v>640.79999999999995</v>
      </c>
      <c r="Q18" s="60">
        <v>437.8</v>
      </c>
      <c r="R18" s="60">
        <v>373.4</v>
      </c>
      <c r="T18" s="149"/>
    </row>
    <row r="19" spans="1:20" ht="18.75" x14ac:dyDescent="0.3">
      <c r="A19" s="40" t="s">
        <v>0</v>
      </c>
      <c r="B19" s="8">
        <v>1050200002</v>
      </c>
      <c r="C19" s="173"/>
      <c r="D19" s="60"/>
      <c r="E19" s="60">
        <f t="shared" si="7"/>
        <v>0</v>
      </c>
      <c r="F19" s="60">
        <f>1000+126+65+1480-30</f>
        <v>2641</v>
      </c>
      <c r="G19" s="60"/>
      <c r="H19" s="60">
        <f t="shared" si="12"/>
        <v>0</v>
      </c>
      <c r="I19" s="61">
        <f t="shared" si="5"/>
        <v>0</v>
      </c>
      <c r="J19" s="61">
        <f t="shared" si="6"/>
        <v>0</v>
      </c>
      <c r="K19" s="60">
        <v>-4</v>
      </c>
      <c r="L19" s="61">
        <f t="shared" si="1"/>
        <v>0</v>
      </c>
      <c r="M19" s="60"/>
      <c r="N19" s="60"/>
      <c r="O19" s="61">
        <f t="shared" si="2"/>
        <v>0</v>
      </c>
      <c r="P19" s="60">
        <v>2.6</v>
      </c>
      <c r="Q19" s="60">
        <v>2.6</v>
      </c>
      <c r="R19" s="60">
        <v>2.6</v>
      </c>
    </row>
    <row r="20" spans="1:20" ht="18.75" x14ac:dyDescent="0.3">
      <c r="A20" s="40" t="s">
        <v>7</v>
      </c>
      <c r="B20" s="8">
        <v>1050300001</v>
      </c>
      <c r="C20" s="173">
        <v>27.5</v>
      </c>
      <c r="D20" s="60"/>
      <c r="E20" s="60">
        <f t="shared" si="7"/>
        <v>27.5</v>
      </c>
      <c r="F20" s="60">
        <f>5.4+5.6+52</f>
        <v>63</v>
      </c>
      <c r="G20" s="60">
        <v>9.8000000000000007</v>
      </c>
      <c r="H20" s="60">
        <f t="shared" si="12"/>
        <v>9.8000000000000007</v>
      </c>
      <c r="I20" s="61">
        <f t="shared" si="5"/>
        <v>0.35636363636363638</v>
      </c>
      <c r="J20" s="61">
        <f t="shared" si="6"/>
        <v>0.15555555555555556</v>
      </c>
      <c r="K20" s="60">
        <v>-148.19999999999999</v>
      </c>
      <c r="L20" s="61">
        <f t="shared" si="1"/>
        <v>0</v>
      </c>
      <c r="M20" s="60"/>
      <c r="N20" s="60"/>
      <c r="O20" s="61">
        <f t="shared" si="2"/>
        <v>0</v>
      </c>
      <c r="P20" s="60"/>
      <c r="Q20" s="60"/>
      <c r="R20" s="60"/>
    </row>
    <row r="21" spans="1:20" ht="18.75" x14ac:dyDescent="0.3">
      <c r="A21" s="40" t="s">
        <v>96</v>
      </c>
      <c r="B21" s="8">
        <v>1050402002</v>
      </c>
      <c r="C21" s="173">
        <v>1250</v>
      </c>
      <c r="D21" s="60"/>
      <c r="E21" s="60">
        <f t="shared" si="7"/>
        <v>1250</v>
      </c>
      <c r="F21" s="60">
        <f>50+15+2.9+21</f>
        <v>88.9</v>
      </c>
      <c r="G21" s="60">
        <v>2204.1</v>
      </c>
      <c r="H21" s="60">
        <f t="shared" si="12"/>
        <v>2218.6</v>
      </c>
      <c r="I21" s="61">
        <f t="shared" si="5"/>
        <v>1.77488</v>
      </c>
      <c r="J21" s="61">
        <f t="shared" si="6"/>
        <v>24.956130483689535</v>
      </c>
      <c r="K21" s="60">
        <v>866.9</v>
      </c>
      <c r="L21" s="61">
        <f t="shared" si="1"/>
        <v>2.5592340523705155</v>
      </c>
      <c r="M21" s="60">
        <v>14.5</v>
      </c>
      <c r="N21" s="60">
        <v>21.2</v>
      </c>
      <c r="O21" s="61">
        <f t="shared" si="2"/>
        <v>0.68396226415094341</v>
      </c>
      <c r="P21" s="60">
        <v>6.7</v>
      </c>
      <c r="Q21" s="60">
        <v>7.9</v>
      </c>
      <c r="R21" s="60">
        <v>6.1</v>
      </c>
    </row>
    <row r="22" spans="1:20" ht="16.5" customHeight="1" x14ac:dyDescent="0.3">
      <c r="A22" s="37" t="s">
        <v>57</v>
      </c>
      <c r="B22" s="38">
        <v>1060201002</v>
      </c>
      <c r="C22" s="57">
        <v>7800</v>
      </c>
      <c r="D22" s="62"/>
      <c r="E22" s="62">
        <f t="shared" si="7"/>
        <v>7800</v>
      </c>
      <c r="F22" s="62">
        <f>300+93+770+670+150</f>
        <v>1983</v>
      </c>
      <c r="G22" s="62">
        <v>7627.7</v>
      </c>
      <c r="H22" s="62">
        <f t="shared" si="12"/>
        <v>7622</v>
      </c>
      <c r="I22" s="58">
        <f t="shared" si="5"/>
        <v>0.97717948717948722</v>
      </c>
      <c r="J22" s="58">
        <f t="shared" si="6"/>
        <v>3.8436712052445787</v>
      </c>
      <c r="K22" s="62">
        <v>5901.6</v>
      </c>
      <c r="L22" s="58">
        <f t="shared" si="1"/>
        <v>1.2915141656499931</v>
      </c>
      <c r="M22" s="62">
        <v>-5.7</v>
      </c>
      <c r="N22" s="62">
        <v>-33.299999999999997</v>
      </c>
      <c r="O22" s="58">
        <f t="shared" si="2"/>
        <v>0</v>
      </c>
      <c r="P22" s="62">
        <v>116</v>
      </c>
      <c r="Q22" s="62">
        <v>23.5</v>
      </c>
      <c r="R22" s="62"/>
    </row>
    <row r="23" spans="1:20" ht="18" customHeight="1" x14ac:dyDescent="0.3">
      <c r="A23" s="37" t="s">
        <v>64</v>
      </c>
      <c r="B23" s="38">
        <v>1080000000</v>
      </c>
      <c r="C23" s="57">
        <v>1150</v>
      </c>
      <c r="D23" s="62"/>
      <c r="E23" s="62">
        <f t="shared" si="7"/>
        <v>1150</v>
      </c>
      <c r="F23" s="62">
        <f>75+34+90+90</f>
        <v>289</v>
      </c>
      <c r="G23" s="62">
        <v>783.2</v>
      </c>
      <c r="H23" s="62">
        <f t="shared" si="12"/>
        <v>981.40000000000009</v>
      </c>
      <c r="I23" s="58">
        <f t="shared" si="5"/>
        <v>0.85339130434782617</v>
      </c>
      <c r="J23" s="58">
        <f t="shared" si="6"/>
        <v>3.3958477508650522</v>
      </c>
      <c r="K23" s="62">
        <v>735.4</v>
      </c>
      <c r="L23" s="58">
        <f t="shared" si="1"/>
        <v>1.3345118302964374</v>
      </c>
      <c r="M23" s="62">
        <v>198.2</v>
      </c>
      <c r="N23" s="62">
        <v>66.599999999999994</v>
      </c>
      <c r="O23" s="58">
        <f t="shared" si="2"/>
        <v>2.9759759759759761</v>
      </c>
      <c r="P23" s="62"/>
      <c r="Q23" s="62"/>
      <c r="R23" s="62"/>
    </row>
    <row r="24" spans="1:20" ht="17.25" customHeight="1" x14ac:dyDescent="0.3">
      <c r="A24" s="37" t="s">
        <v>56</v>
      </c>
      <c r="B24" s="38">
        <v>1090000000</v>
      </c>
      <c r="C24" s="57"/>
      <c r="D24" s="62"/>
      <c r="E24" s="62">
        <f t="shared" si="7"/>
        <v>0</v>
      </c>
      <c r="F24" s="62"/>
      <c r="G24" s="62"/>
      <c r="H24" s="62">
        <f t="shared" si="12"/>
        <v>0</v>
      </c>
      <c r="I24" s="58">
        <f t="shared" si="5"/>
        <v>0</v>
      </c>
      <c r="J24" s="58">
        <f t="shared" si="6"/>
        <v>0</v>
      </c>
      <c r="K24" s="62"/>
      <c r="L24" s="58">
        <f t="shared" si="1"/>
        <v>0</v>
      </c>
      <c r="M24" s="62"/>
      <c r="N24" s="62"/>
      <c r="O24" s="58">
        <f t="shared" si="2"/>
        <v>0</v>
      </c>
      <c r="P24" s="62"/>
      <c r="Q24" s="62"/>
      <c r="R24" s="62"/>
    </row>
    <row r="25" spans="1:20" ht="18.75" x14ac:dyDescent="0.3">
      <c r="A25" s="42" t="s">
        <v>22</v>
      </c>
      <c r="B25" s="43"/>
      <c r="C25" s="55">
        <f t="shared" ref="C25:H25" si="13">C26+C33+C34+C38+C42+C43</f>
        <v>27948.799999999999</v>
      </c>
      <c r="D25" s="55">
        <f t="shared" si="13"/>
        <v>29769.001</v>
      </c>
      <c r="E25" s="55">
        <f t="shared" si="13"/>
        <v>57717.800999999992</v>
      </c>
      <c r="F25" s="55">
        <f t="shared" si="13"/>
        <v>7948.7</v>
      </c>
      <c r="G25" s="130">
        <f>G26+G33+G34+G38+G42+G43</f>
        <v>16277.400000000001</v>
      </c>
      <c r="H25" s="55">
        <f t="shared" si="13"/>
        <v>18611.899999999998</v>
      </c>
      <c r="I25" s="56">
        <f t="shared" si="5"/>
        <v>0.32246377508387752</v>
      </c>
      <c r="J25" s="56">
        <f t="shared" si="6"/>
        <v>2.341502384037641</v>
      </c>
      <c r="K25" s="130">
        <f>K26+K33+K34+K38+K42+K43</f>
        <v>13289.300000000001</v>
      </c>
      <c r="L25" s="56">
        <f t="shared" si="1"/>
        <v>1.4005177097364041</v>
      </c>
      <c r="M25" s="130">
        <f>M26+M33+M34+M38+M42+M43</f>
        <v>2334.5</v>
      </c>
      <c r="N25" s="130">
        <f>N26+N33+N34+N38+N42+N43</f>
        <v>1190.9000000000001</v>
      </c>
      <c r="O25" s="56">
        <f t="shared" si="2"/>
        <v>1.960282139558317</v>
      </c>
      <c r="P25" s="55">
        <f>P26+P33+P34+P38+P42+P43</f>
        <v>1009.4</v>
      </c>
      <c r="Q25" s="55">
        <f>Q26+Q33+Q34+Q38+Q42+Q43</f>
        <v>313.10000000000002</v>
      </c>
      <c r="R25" s="55">
        <f>R26+R33+R34+R38+R42+R43</f>
        <v>482.2</v>
      </c>
    </row>
    <row r="26" spans="1:20" ht="18.75" x14ac:dyDescent="0.3">
      <c r="A26" s="44" t="s">
        <v>61</v>
      </c>
      <c r="B26" s="38">
        <v>1110000000</v>
      </c>
      <c r="C26" s="57">
        <f t="shared" ref="C26:H26" si="14">SUM(C27:C32)</f>
        <v>17453.5</v>
      </c>
      <c r="D26" s="57">
        <f t="shared" si="14"/>
        <v>0</v>
      </c>
      <c r="E26" s="57">
        <f t="shared" si="14"/>
        <v>17453.5</v>
      </c>
      <c r="F26" s="57">
        <f t="shared" si="14"/>
        <v>2087.3000000000002</v>
      </c>
      <c r="G26" s="131">
        <f>SUM(G27:G32)</f>
        <v>5634.5</v>
      </c>
      <c r="H26" s="57">
        <f t="shared" si="14"/>
        <v>7074.8000000000011</v>
      </c>
      <c r="I26" s="58">
        <f t="shared" si="5"/>
        <v>0.40535136219096463</v>
      </c>
      <c r="J26" s="58">
        <f t="shared" si="6"/>
        <v>3.3894504862741344</v>
      </c>
      <c r="K26" s="131">
        <f>SUM(K27:K32)</f>
        <v>2240.2000000000003</v>
      </c>
      <c r="L26" s="58">
        <f t="shared" si="1"/>
        <v>3.1581108829568789</v>
      </c>
      <c r="M26" s="131">
        <f>SUM(M27:M32)</f>
        <v>1440.3</v>
      </c>
      <c r="N26" s="131">
        <f>SUM(N27:N32)</f>
        <v>311.40000000000003</v>
      </c>
      <c r="O26" s="58">
        <f t="shared" si="2"/>
        <v>4.6252408477842</v>
      </c>
      <c r="P26" s="57">
        <f>SUM(P27:P32)</f>
        <v>1009.4</v>
      </c>
      <c r="Q26" s="57">
        <f>SUM(Q27:Q32)</f>
        <v>313.10000000000002</v>
      </c>
      <c r="R26" s="57">
        <f>SUM(R27:R32)</f>
        <v>482.2</v>
      </c>
    </row>
    <row r="27" spans="1:20" ht="18.75" hidden="1" x14ac:dyDescent="0.3">
      <c r="A27" s="8" t="s">
        <v>20</v>
      </c>
      <c r="B27" s="8">
        <v>1110105005</v>
      </c>
      <c r="C27" s="59"/>
      <c r="D27" s="60"/>
      <c r="E27" s="60">
        <f t="shared" ref="E27:E33" si="15">C27+D27</f>
        <v>0</v>
      </c>
      <c r="F27" s="60"/>
      <c r="G27" s="132"/>
      <c r="H27" s="60">
        <f t="shared" ref="H27:H33" si="16">G27+M27</f>
        <v>0</v>
      </c>
      <c r="I27" s="61">
        <f t="shared" si="5"/>
        <v>0</v>
      </c>
      <c r="J27" s="61">
        <f t="shared" si="6"/>
        <v>0</v>
      </c>
      <c r="K27" s="132"/>
      <c r="L27" s="61">
        <f t="shared" si="1"/>
        <v>0</v>
      </c>
      <c r="M27" s="132"/>
      <c r="N27" s="132"/>
      <c r="O27" s="61">
        <f t="shared" si="2"/>
        <v>0</v>
      </c>
      <c r="P27" s="60"/>
      <c r="Q27" s="60"/>
      <c r="R27" s="60"/>
    </row>
    <row r="28" spans="1:20" ht="18.75" x14ac:dyDescent="0.3">
      <c r="A28" s="8" t="s">
        <v>58</v>
      </c>
      <c r="B28" s="8">
        <v>1110501300</v>
      </c>
      <c r="C28" s="59">
        <v>1610</v>
      </c>
      <c r="D28" s="60"/>
      <c r="E28" s="60">
        <f t="shared" si="15"/>
        <v>1610</v>
      </c>
      <c r="F28" s="60">
        <f>60+420+420</f>
        <v>900</v>
      </c>
      <c r="G28" s="132">
        <v>1564.7</v>
      </c>
      <c r="H28" s="163">
        <f t="shared" si="16"/>
        <v>1768</v>
      </c>
      <c r="I28" s="61">
        <f t="shared" si="5"/>
        <v>1.0981366459627329</v>
      </c>
      <c r="J28" s="61">
        <f t="shared" si="6"/>
        <v>1.9644444444444444</v>
      </c>
      <c r="K28" s="132">
        <v>1328</v>
      </c>
      <c r="L28" s="61">
        <f t="shared" si="1"/>
        <v>1.3313253012048192</v>
      </c>
      <c r="M28" s="132">
        <v>203.3</v>
      </c>
      <c r="N28" s="60">
        <v>198.3</v>
      </c>
      <c r="O28" s="61">
        <f t="shared" si="2"/>
        <v>1.0252143217347454</v>
      </c>
      <c r="P28" s="60">
        <f>99.5+501.9</f>
        <v>601.4</v>
      </c>
      <c r="Q28" s="60">
        <v>313.10000000000002</v>
      </c>
      <c r="R28" s="60">
        <v>482.2</v>
      </c>
    </row>
    <row r="29" spans="1:20" ht="18.75" x14ac:dyDescent="0.3">
      <c r="A29" s="8" t="s">
        <v>59</v>
      </c>
      <c r="B29" s="8">
        <v>1110502505</v>
      </c>
      <c r="C29" s="59"/>
      <c r="D29" s="60"/>
      <c r="E29" s="60">
        <f t="shared" si="15"/>
        <v>0</v>
      </c>
      <c r="F29" s="60"/>
      <c r="G29" s="132">
        <v>0.8</v>
      </c>
      <c r="H29" s="60">
        <f t="shared" si="16"/>
        <v>0.8</v>
      </c>
      <c r="I29" s="61">
        <f t="shared" si="5"/>
        <v>0</v>
      </c>
      <c r="J29" s="61">
        <f t="shared" si="6"/>
        <v>0</v>
      </c>
      <c r="K29" s="132"/>
      <c r="L29" s="61">
        <f t="shared" si="1"/>
        <v>0</v>
      </c>
      <c r="M29" s="132"/>
      <c r="N29" s="60"/>
      <c r="O29" s="61">
        <f t="shared" si="2"/>
        <v>0</v>
      </c>
      <c r="P29" s="60"/>
      <c r="Q29" s="60"/>
      <c r="R29" s="60"/>
    </row>
    <row r="30" spans="1:20" ht="18.75" x14ac:dyDescent="0.3">
      <c r="A30" s="159" t="s">
        <v>60</v>
      </c>
      <c r="B30" s="8">
        <v>1110503505</v>
      </c>
      <c r="C30" s="173">
        <f>10094+5489.5</f>
        <v>15583.5</v>
      </c>
      <c r="D30" s="60">
        <v>-14500</v>
      </c>
      <c r="E30" s="60">
        <f t="shared" si="15"/>
        <v>1083.5</v>
      </c>
      <c r="F30" s="60">
        <f>250+140+365+165.3+267</f>
        <v>1187.3</v>
      </c>
      <c r="G30" s="132">
        <v>729.8</v>
      </c>
      <c r="H30" s="60">
        <f t="shared" si="16"/>
        <v>782.3</v>
      </c>
      <c r="I30" s="61">
        <f t="shared" si="5"/>
        <v>0.72201199815413009</v>
      </c>
      <c r="J30" s="61">
        <f t="shared" si="6"/>
        <v>0.65888991830202981</v>
      </c>
      <c r="K30" s="132">
        <v>792</v>
      </c>
      <c r="L30" s="61">
        <f t="shared" si="1"/>
        <v>0.98775252525252522</v>
      </c>
      <c r="M30" s="132">
        <v>52.5</v>
      </c>
      <c r="N30" s="60">
        <v>113.8</v>
      </c>
      <c r="O30" s="61">
        <f t="shared" si="2"/>
        <v>0.46133567662565905</v>
      </c>
      <c r="P30" s="60">
        <v>408</v>
      </c>
      <c r="Q30" s="60"/>
      <c r="R30" s="60">
        <v>0</v>
      </c>
    </row>
    <row r="31" spans="1:20" ht="18.75" x14ac:dyDescent="0.3">
      <c r="A31" s="8" t="s">
        <v>112</v>
      </c>
      <c r="B31" s="158">
        <v>1110507505</v>
      </c>
      <c r="C31" s="173">
        <v>260</v>
      </c>
      <c r="D31" s="60">
        <v>14500</v>
      </c>
      <c r="E31" s="60">
        <f t="shared" si="15"/>
        <v>14760</v>
      </c>
      <c r="F31" s="60"/>
      <c r="G31" s="132">
        <v>3305.3</v>
      </c>
      <c r="H31" s="60">
        <f t="shared" si="16"/>
        <v>4488.7000000000007</v>
      </c>
      <c r="I31" s="61">
        <f t="shared" si="5"/>
        <v>0.30411246612466131</v>
      </c>
      <c r="J31" s="61"/>
      <c r="K31" s="132">
        <v>97.4</v>
      </c>
      <c r="L31" s="61">
        <f t="shared" si="1"/>
        <v>46.085215605749489</v>
      </c>
      <c r="M31" s="132">
        <v>1183.4000000000001</v>
      </c>
      <c r="N31" s="60"/>
      <c r="O31" s="61">
        <f t="shared" si="2"/>
        <v>0</v>
      </c>
      <c r="P31" s="60"/>
      <c r="Q31" s="60"/>
      <c r="R31" s="60"/>
    </row>
    <row r="32" spans="1:20" ht="18.75" x14ac:dyDescent="0.3">
      <c r="A32" s="8" t="s">
        <v>23</v>
      </c>
      <c r="B32" s="8">
        <v>1110904505</v>
      </c>
      <c r="C32" s="59"/>
      <c r="D32" s="60"/>
      <c r="E32" s="60">
        <f t="shared" si="15"/>
        <v>0</v>
      </c>
      <c r="F32" s="60"/>
      <c r="G32" s="132">
        <v>33.9</v>
      </c>
      <c r="H32" s="60">
        <f t="shared" si="16"/>
        <v>35</v>
      </c>
      <c r="I32" s="61">
        <f t="shared" si="5"/>
        <v>0</v>
      </c>
      <c r="J32" s="61">
        <f t="shared" si="6"/>
        <v>0</v>
      </c>
      <c r="K32" s="132">
        <v>22.8</v>
      </c>
      <c r="L32" s="61">
        <f t="shared" si="1"/>
        <v>1.5350877192982455</v>
      </c>
      <c r="M32" s="132">
        <v>1.1000000000000001</v>
      </c>
      <c r="N32" s="60">
        <v>-0.7</v>
      </c>
      <c r="O32" s="61">
        <f t="shared" si="2"/>
        <v>0</v>
      </c>
      <c r="P32" s="60"/>
      <c r="Q32" s="60"/>
      <c r="R32" s="60"/>
    </row>
    <row r="33" spans="1:19" ht="18.75" x14ac:dyDescent="0.3">
      <c r="A33" s="44" t="s">
        <v>65</v>
      </c>
      <c r="B33" s="38">
        <v>1120100000</v>
      </c>
      <c r="C33" s="57">
        <v>679.6</v>
      </c>
      <c r="D33" s="62"/>
      <c r="E33" s="62">
        <f t="shared" si="15"/>
        <v>679.6</v>
      </c>
      <c r="F33" s="62">
        <f>30+30+15</f>
        <v>75</v>
      </c>
      <c r="G33" s="133">
        <v>895.9</v>
      </c>
      <c r="H33" s="62">
        <f t="shared" si="16"/>
        <v>895.9</v>
      </c>
      <c r="I33" s="58">
        <f t="shared" si="5"/>
        <v>1.3182754561506769</v>
      </c>
      <c r="J33" s="58">
        <f t="shared" si="6"/>
        <v>11.945333333333332</v>
      </c>
      <c r="K33" s="133">
        <v>1068.2</v>
      </c>
      <c r="L33" s="58">
        <f t="shared" si="1"/>
        <v>0.83870061786182359</v>
      </c>
      <c r="M33" s="133"/>
      <c r="N33" s="133"/>
      <c r="O33" s="58">
        <f t="shared" si="2"/>
        <v>0</v>
      </c>
      <c r="P33" s="62"/>
      <c r="Q33" s="62"/>
      <c r="R33" s="62"/>
    </row>
    <row r="34" spans="1:19" ht="18.75" x14ac:dyDescent="0.3">
      <c r="A34" s="44" t="s">
        <v>66</v>
      </c>
      <c r="B34" s="38">
        <v>1130000000</v>
      </c>
      <c r="C34" s="57">
        <f t="shared" ref="C34:H34" si="17">SUM(C35:C37)</f>
        <v>8150</v>
      </c>
      <c r="D34" s="57">
        <f t="shared" si="17"/>
        <v>2000</v>
      </c>
      <c r="E34" s="57">
        <f t="shared" si="17"/>
        <v>10150</v>
      </c>
      <c r="F34" s="57">
        <f t="shared" si="17"/>
        <v>5703.4</v>
      </c>
      <c r="G34" s="131">
        <f>SUM(G35:G37)</f>
        <v>5409.4</v>
      </c>
      <c r="H34" s="57">
        <f t="shared" si="17"/>
        <v>6194.4</v>
      </c>
      <c r="I34" s="58">
        <f t="shared" si="5"/>
        <v>0.61028571428571421</v>
      </c>
      <c r="J34" s="58">
        <f t="shared" si="6"/>
        <v>1.0860889995441316</v>
      </c>
      <c r="K34" s="131">
        <f>SUM(K35:K37)</f>
        <v>6375.0999999999995</v>
      </c>
      <c r="L34" s="58">
        <f t="shared" si="1"/>
        <v>0.97165534658279873</v>
      </c>
      <c r="M34" s="131">
        <f>SUM(M35:M37)</f>
        <v>785.00000000000011</v>
      </c>
      <c r="N34" s="131">
        <f>SUM(N35:N37)</f>
        <v>746</v>
      </c>
      <c r="O34" s="58">
        <f t="shared" si="2"/>
        <v>1.0522788203753353</v>
      </c>
      <c r="P34" s="57">
        <f>SUM(P35:P37)</f>
        <v>0</v>
      </c>
      <c r="Q34" s="57">
        <f>SUM(Q35:Q37)</f>
        <v>0</v>
      </c>
      <c r="R34" s="57">
        <f>SUM(R35:R37)</f>
        <v>0</v>
      </c>
    </row>
    <row r="35" spans="1:19" ht="18.75" x14ac:dyDescent="0.3">
      <c r="A35" s="45" t="s">
        <v>34</v>
      </c>
      <c r="B35" s="45">
        <v>1130199505</v>
      </c>
      <c r="C35" s="59">
        <v>7800</v>
      </c>
      <c r="D35" s="60"/>
      <c r="E35" s="60">
        <f>C35+D35</f>
        <v>7800</v>
      </c>
      <c r="F35" s="60">
        <f>1963.4+1945+1295</f>
        <v>5203.3999999999996</v>
      </c>
      <c r="G35" s="132">
        <v>3842.1</v>
      </c>
      <c r="H35" s="60">
        <f>G35+M35</f>
        <v>4426.3</v>
      </c>
      <c r="I35" s="61">
        <f t="shared" si="5"/>
        <v>0.56747435897435905</v>
      </c>
      <c r="J35" s="61">
        <f t="shared" si="6"/>
        <v>0.85065534073874782</v>
      </c>
      <c r="K35" s="132">
        <v>4413.7</v>
      </c>
      <c r="L35" s="61">
        <f t="shared" si="1"/>
        <v>1.0028547477173348</v>
      </c>
      <c r="M35" s="132">
        <v>584.20000000000005</v>
      </c>
      <c r="N35" s="60">
        <v>495.3</v>
      </c>
      <c r="O35" s="61">
        <f t="shared" si="2"/>
        <v>1.1794871794871795</v>
      </c>
      <c r="P35" s="60"/>
      <c r="Q35" s="60"/>
      <c r="R35" s="60"/>
    </row>
    <row r="36" spans="1:19" ht="18.75" x14ac:dyDescent="0.3">
      <c r="A36" s="45" t="s">
        <v>35</v>
      </c>
      <c r="B36" s="45">
        <v>1130206505</v>
      </c>
      <c r="C36" s="59">
        <v>350</v>
      </c>
      <c r="D36" s="60"/>
      <c r="E36" s="60">
        <f>C36+D36</f>
        <v>350</v>
      </c>
      <c r="F36" s="60">
        <f>240+165+95</f>
        <v>500</v>
      </c>
      <c r="G36" s="132">
        <v>228.7</v>
      </c>
      <c r="H36" s="60">
        <f>G36+M36</f>
        <v>229.39999999999998</v>
      </c>
      <c r="I36" s="61">
        <f t="shared" si="5"/>
        <v>0.65542857142857136</v>
      </c>
      <c r="J36" s="61">
        <f t="shared" si="6"/>
        <v>0.45879999999999993</v>
      </c>
      <c r="K36" s="132">
        <v>301.39999999999998</v>
      </c>
      <c r="L36" s="61">
        <f t="shared" si="1"/>
        <v>0.76111479761114798</v>
      </c>
      <c r="M36" s="132">
        <v>0.7</v>
      </c>
      <c r="N36" s="60">
        <v>71.7</v>
      </c>
      <c r="O36" s="61">
        <f t="shared" si="2"/>
        <v>9.7629009762900971E-3</v>
      </c>
      <c r="P36" s="60"/>
      <c r="Q36" s="60"/>
      <c r="R36" s="60"/>
    </row>
    <row r="37" spans="1:19" ht="18.75" x14ac:dyDescent="0.3">
      <c r="A37" s="45" t="s">
        <v>62</v>
      </c>
      <c r="B37" s="45">
        <v>1130299505</v>
      </c>
      <c r="C37" s="59"/>
      <c r="D37" s="60">
        <f>2000</f>
        <v>2000</v>
      </c>
      <c r="E37" s="60">
        <f>C37+D37</f>
        <v>2000</v>
      </c>
      <c r="F37" s="60"/>
      <c r="G37" s="132">
        <v>1338.6</v>
      </c>
      <c r="H37" s="60">
        <f>G37+M37</f>
        <v>1538.6999999999998</v>
      </c>
      <c r="I37" s="61">
        <f t="shared" si="5"/>
        <v>0.76934999999999987</v>
      </c>
      <c r="J37" s="61">
        <f t="shared" si="6"/>
        <v>0</v>
      </c>
      <c r="K37" s="132">
        <v>1660</v>
      </c>
      <c r="L37" s="61">
        <f t="shared" si="1"/>
        <v>0.92692771084337333</v>
      </c>
      <c r="M37" s="132">
        <v>200.1</v>
      </c>
      <c r="N37" s="60">
        <v>179</v>
      </c>
      <c r="O37" s="61">
        <f t="shared" si="2"/>
        <v>1.1178770949720671</v>
      </c>
      <c r="P37" s="60"/>
      <c r="Q37" s="60"/>
      <c r="R37" s="60"/>
    </row>
    <row r="38" spans="1:19" ht="18.75" x14ac:dyDescent="0.3">
      <c r="A38" s="44" t="s">
        <v>67</v>
      </c>
      <c r="B38" s="38">
        <v>1140000000</v>
      </c>
      <c r="C38" s="57">
        <f>SUM(C39:C41)</f>
        <v>9</v>
      </c>
      <c r="D38" s="57">
        <f>SUM(D39:D41)</f>
        <v>27769.001</v>
      </c>
      <c r="E38" s="57">
        <f t="shared" ref="E38:H38" si="18">SUM(E39:E41)</f>
        <v>27778.001</v>
      </c>
      <c r="F38" s="57">
        <f t="shared" si="18"/>
        <v>0</v>
      </c>
      <c r="G38" s="57">
        <f t="shared" si="18"/>
        <v>2687.2</v>
      </c>
      <c r="H38" s="57">
        <f t="shared" si="18"/>
        <v>2761.4</v>
      </c>
      <c r="I38" s="58">
        <f t="shared" si="5"/>
        <v>9.9409601144445206E-2</v>
      </c>
      <c r="J38" s="58">
        <f t="shared" si="6"/>
        <v>0</v>
      </c>
      <c r="K38" s="57">
        <f>SUM(K39:K41)</f>
        <v>1390.2</v>
      </c>
      <c r="L38" s="58">
        <f t="shared" si="1"/>
        <v>1.9863329017407567</v>
      </c>
      <c r="M38" s="57">
        <f t="shared" ref="M38:N38" si="19">SUM(M39:M41)</f>
        <v>74.2</v>
      </c>
      <c r="N38" s="57">
        <f t="shared" si="19"/>
        <v>95.9</v>
      </c>
      <c r="O38" s="58">
        <f>IF(N38&gt;0,M38/N38,0)</f>
        <v>0.77372262773722622</v>
      </c>
      <c r="P38" s="57">
        <f>SUM(P40:P41)</f>
        <v>0</v>
      </c>
      <c r="Q38" s="57">
        <f>SUM(Q40:Q41)</f>
        <v>0</v>
      </c>
      <c r="R38" s="57">
        <f>SUM(R40:R41)</f>
        <v>0</v>
      </c>
    </row>
    <row r="39" spans="1:19" ht="18.75" x14ac:dyDescent="0.3">
      <c r="A39" s="219" t="s">
        <v>127</v>
      </c>
      <c r="B39" s="218">
        <v>1140205205</v>
      </c>
      <c r="C39" s="220"/>
      <c r="D39" s="220"/>
      <c r="E39" s="220"/>
      <c r="F39" s="220"/>
      <c r="G39" s="221">
        <v>47.9</v>
      </c>
      <c r="H39" s="60">
        <f>G39+M39</f>
        <v>47.9</v>
      </c>
      <c r="I39" s="61">
        <f t="shared" si="5"/>
        <v>0</v>
      </c>
      <c r="J39" s="222"/>
      <c r="K39" s="221"/>
      <c r="L39" s="61">
        <f t="shared" si="1"/>
        <v>0</v>
      </c>
      <c r="M39" s="221"/>
      <c r="N39" s="221"/>
      <c r="O39" s="61">
        <f>IF(N39&gt;0,M39/N39,0)</f>
        <v>0</v>
      </c>
      <c r="P39" s="220"/>
      <c r="Q39" s="220"/>
      <c r="R39" s="220"/>
    </row>
    <row r="40" spans="1:19" ht="18.75" x14ac:dyDescent="0.3">
      <c r="A40" s="8" t="s">
        <v>31</v>
      </c>
      <c r="B40" s="8">
        <v>1140205305</v>
      </c>
      <c r="C40" s="59"/>
      <c r="D40" s="60">
        <v>27769.001</v>
      </c>
      <c r="E40" s="60">
        <f>C40+D40</f>
        <v>27769.001</v>
      </c>
      <c r="F40" s="60"/>
      <c r="G40" s="132">
        <v>2086.5</v>
      </c>
      <c r="H40" s="60">
        <f>G40+M40</f>
        <v>2086.5</v>
      </c>
      <c r="I40" s="61">
        <f t="shared" si="5"/>
        <v>7.5137740821140817E-2</v>
      </c>
      <c r="J40" s="61">
        <f t="shared" si="6"/>
        <v>0</v>
      </c>
      <c r="K40" s="132">
        <v>1203.2</v>
      </c>
      <c r="L40" s="61">
        <f t="shared" si="1"/>
        <v>1.734125664893617</v>
      </c>
      <c r="M40" s="132"/>
      <c r="N40" s="60"/>
      <c r="O40" s="61">
        <f>IF(N40&gt;0,M40/N40,0)</f>
        <v>0</v>
      </c>
      <c r="P40" s="60"/>
      <c r="Q40" s="60"/>
      <c r="R40" s="60"/>
    </row>
    <row r="41" spans="1:19" ht="18.75" x14ac:dyDescent="0.3">
      <c r="A41" s="8" t="s">
        <v>32</v>
      </c>
      <c r="B41" s="8">
        <v>1140600000</v>
      </c>
      <c r="C41" s="59">
        <v>9</v>
      </c>
      <c r="D41" s="60"/>
      <c r="E41" s="60">
        <f>C41+D41</f>
        <v>9</v>
      </c>
      <c r="F41" s="60"/>
      <c r="G41" s="132">
        <v>552.79999999999995</v>
      </c>
      <c r="H41" s="60">
        <f>G41+M41</f>
        <v>627</v>
      </c>
      <c r="I41" s="61">
        <f t="shared" si="5"/>
        <v>69.666666666666671</v>
      </c>
      <c r="J41" s="61">
        <f t="shared" si="6"/>
        <v>0</v>
      </c>
      <c r="K41" s="132">
        <v>187</v>
      </c>
      <c r="L41" s="61">
        <f t="shared" si="1"/>
        <v>3.3529411764705883</v>
      </c>
      <c r="M41" s="132">
        <v>74.2</v>
      </c>
      <c r="N41" s="60">
        <v>95.9</v>
      </c>
      <c r="O41" s="61">
        <f t="shared" si="2"/>
        <v>0.77372262773722622</v>
      </c>
      <c r="P41" s="60"/>
      <c r="Q41" s="60"/>
      <c r="R41" s="60"/>
    </row>
    <row r="42" spans="1:19" ht="18.75" x14ac:dyDescent="0.3">
      <c r="A42" s="44" t="s">
        <v>68</v>
      </c>
      <c r="B42" s="38">
        <v>1160000000</v>
      </c>
      <c r="C42" s="57">
        <v>823.7</v>
      </c>
      <c r="D42" s="62"/>
      <c r="E42" s="62">
        <f>C42+D42</f>
        <v>823.7</v>
      </c>
      <c r="F42" s="62">
        <f>38+45</f>
        <v>83</v>
      </c>
      <c r="G42" s="133">
        <v>798.2</v>
      </c>
      <c r="H42" s="62">
        <f>G42+M42</f>
        <v>834.30000000000007</v>
      </c>
      <c r="I42" s="58">
        <f t="shared" si="5"/>
        <v>1.0128687628991138</v>
      </c>
      <c r="J42" s="58">
        <f t="shared" si="6"/>
        <v>10.051807228915663</v>
      </c>
      <c r="K42" s="133">
        <v>1340.5</v>
      </c>
      <c r="L42" s="58">
        <f t="shared" si="1"/>
        <v>0.62237970906378226</v>
      </c>
      <c r="M42" s="133">
        <v>36.1</v>
      </c>
      <c r="N42" s="133">
        <v>38</v>
      </c>
      <c r="O42" s="58">
        <f t="shared" si="2"/>
        <v>0.95000000000000007</v>
      </c>
      <c r="P42" s="62"/>
      <c r="Q42" s="62"/>
      <c r="R42" s="62"/>
    </row>
    <row r="43" spans="1:19" ht="18.75" x14ac:dyDescent="0.3">
      <c r="A43" s="44" t="s">
        <v>69</v>
      </c>
      <c r="B43" s="38">
        <v>1170000000</v>
      </c>
      <c r="C43" s="57">
        <f t="shared" ref="C43:H43" si="20">SUM(C44:C46)</f>
        <v>833</v>
      </c>
      <c r="D43" s="57">
        <f t="shared" si="20"/>
        <v>0</v>
      </c>
      <c r="E43" s="57">
        <f t="shared" si="20"/>
        <v>833</v>
      </c>
      <c r="F43" s="57">
        <f t="shared" si="20"/>
        <v>0</v>
      </c>
      <c r="G43" s="57">
        <v>852.2</v>
      </c>
      <c r="H43" s="57">
        <f t="shared" si="20"/>
        <v>851.1</v>
      </c>
      <c r="I43" s="58">
        <f t="shared" si="5"/>
        <v>1.0217286914765906</v>
      </c>
      <c r="J43" s="58">
        <f t="shared" si="6"/>
        <v>0</v>
      </c>
      <c r="K43" s="57">
        <f>SUM(K44:K46)</f>
        <v>875.1</v>
      </c>
      <c r="L43" s="58">
        <f t="shared" si="1"/>
        <v>0.97257456290709632</v>
      </c>
      <c r="M43" s="57">
        <f>SUM(M44:M46)</f>
        <v>-1.1000000000000001</v>
      </c>
      <c r="N43" s="57">
        <f>SUM(N44:N46)</f>
        <v>-0.4</v>
      </c>
      <c r="O43" s="58">
        <f t="shared" si="2"/>
        <v>0</v>
      </c>
      <c r="P43" s="57">
        <f>SUM(P44:P45)</f>
        <v>0</v>
      </c>
      <c r="Q43" s="57">
        <f>SUM(Q44:Q45)</f>
        <v>0</v>
      </c>
      <c r="R43" s="57">
        <f>SUM(R44:R45)</f>
        <v>0</v>
      </c>
    </row>
    <row r="44" spans="1:19" ht="18.75" x14ac:dyDescent="0.3">
      <c r="A44" s="8" t="s">
        <v>8</v>
      </c>
      <c r="B44" s="8">
        <v>1170105005</v>
      </c>
      <c r="C44" s="59"/>
      <c r="D44" s="60"/>
      <c r="E44" s="60">
        <f>C44+D44</f>
        <v>0</v>
      </c>
      <c r="F44" s="60"/>
      <c r="G44" s="132">
        <v>4.0999999999999996</v>
      </c>
      <c r="H44" s="60">
        <f>G44+M44</f>
        <v>2.9999999999999996</v>
      </c>
      <c r="I44" s="61">
        <f t="shared" si="5"/>
        <v>0</v>
      </c>
      <c r="J44" s="61">
        <f t="shared" si="6"/>
        <v>0</v>
      </c>
      <c r="K44" s="132">
        <v>-0.5</v>
      </c>
      <c r="L44" s="61">
        <f t="shared" si="1"/>
        <v>0</v>
      </c>
      <c r="M44" s="132">
        <v>-1.1000000000000001</v>
      </c>
      <c r="N44" s="60">
        <v>-0.4</v>
      </c>
      <c r="O44" s="61">
        <f t="shared" si="2"/>
        <v>0</v>
      </c>
      <c r="P44" s="60"/>
      <c r="Q44" s="60"/>
      <c r="R44" s="60"/>
    </row>
    <row r="45" spans="1:19" ht="18.75" x14ac:dyDescent="0.3">
      <c r="A45" s="8" t="s">
        <v>14</v>
      </c>
      <c r="B45" s="8">
        <v>1170505005</v>
      </c>
      <c r="C45" s="59"/>
      <c r="D45" s="60"/>
      <c r="E45" s="60">
        <f>C45+D45</f>
        <v>0</v>
      </c>
      <c r="F45" s="60"/>
      <c r="G45" s="132"/>
      <c r="H45" s="60">
        <f>G45+M45</f>
        <v>0</v>
      </c>
      <c r="I45" s="61">
        <f t="shared" si="5"/>
        <v>0</v>
      </c>
      <c r="J45" s="61">
        <f t="shared" si="6"/>
        <v>0</v>
      </c>
      <c r="K45" s="132"/>
      <c r="L45" s="61">
        <f t="shared" si="1"/>
        <v>0</v>
      </c>
      <c r="M45" s="132"/>
      <c r="N45" s="60"/>
      <c r="O45" s="61">
        <f t="shared" si="2"/>
        <v>0</v>
      </c>
      <c r="P45" s="60"/>
      <c r="Q45" s="60"/>
      <c r="R45" s="60"/>
    </row>
    <row r="46" spans="1:19" ht="18.75" x14ac:dyDescent="0.3">
      <c r="A46" s="45" t="s">
        <v>114</v>
      </c>
      <c r="B46" s="160">
        <v>1171503005</v>
      </c>
      <c r="C46" s="59">
        <v>833</v>
      </c>
      <c r="D46" s="60"/>
      <c r="E46" s="60">
        <f>C46+D46</f>
        <v>833</v>
      </c>
      <c r="F46" s="60"/>
      <c r="G46" s="132">
        <v>848.1</v>
      </c>
      <c r="H46" s="60">
        <f>G46+M46</f>
        <v>848.1</v>
      </c>
      <c r="I46" s="61">
        <f t="shared" si="5"/>
        <v>1.0181272509003603</v>
      </c>
      <c r="J46" s="61"/>
      <c r="K46" s="132">
        <v>875.6</v>
      </c>
      <c r="L46" s="61">
        <f t="shared" si="1"/>
        <v>0.96859296482412061</v>
      </c>
      <c r="M46" s="132"/>
      <c r="N46" s="60"/>
      <c r="O46" s="61">
        <f t="shared" si="2"/>
        <v>0</v>
      </c>
      <c r="P46" s="60"/>
      <c r="Q46" s="60"/>
      <c r="R46" s="60"/>
    </row>
    <row r="47" spans="1:19" ht="18.75" customHeight="1" x14ac:dyDescent="0.3">
      <c r="A47" s="43" t="s">
        <v>89</v>
      </c>
      <c r="B47" s="43">
        <v>1000000000</v>
      </c>
      <c r="C47" s="55">
        <f t="shared" ref="C47:H47" si="21">C4+C25</f>
        <v>104431.5</v>
      </c>
      <c r="D47" s="55">
        <f t="shared" si="21"/>
        <v>29769.001</v>
      </c>
      <c r="E47" s="55">
        <f t="shared" si="21"/>
        <v>134200.50099999999</v>
      </c>
      <c r="F47" s="55">
        <f t="shared" si="21"/>
        <v>36236.400000000001</v>
      </c>
      <c r="G47" s="55">
        <f>G4+G25</f>
        <v>85608</v>
      </c>
      <c r="H47" s="120">
        <f t="shared" si="21"/>
        <v>89932.9</v>
      </c>
      <c r="I47" s="56">
        <f t="shared" si="5"/>
        <v>0.67013833279206614</v>
      </c>
      <c r="J47" s="56">
        <f t="shared" si="6"/>
        <v>2.4818387036239802</v>
      </c>
      <c r="K47" s="55">
        <f>K4+K25</f>
        <v>70259.3</v>
      </c>
      <c r="L47" s="56">
        <f t="shared" si="1"/>
        <v>1.2800141760592547</v>
      </c>
      <c r="M47" s="55">
        <f>M4+M25</f>
        <v>4324.8999999999996</v>
      </c>
      <c r="N47" s="55">
        <f>N4+N25</f>
        <v>3804.6</v>
      </c>
      <c r="O47" s="56">
        <f t="shared" si="2"/>
        <v>1.1367555064921411</v>
      </c>
      <c r="P47" s="55">
        <f>P4+P25</f>
        <v>4360.0999999999995</v>
      </c>
      <c r="Q47" s="55">
        <f>Q4+Q25</f>
        <v>2929.6</v>
      </c>
      <c r="R47" s="55">
        <f>R4+R25</f>
        <v>2881.5999999999995</v>
      </c>
      <c r="S47" s="146"/>
    </row>
    <row r="48" spans="1:19" ht="18.75" customHeight="1" x14ac:dyDescent="0.3">
      <c r="A48" s="43" t="s">
        <v>91</v>
      </c>
      <c r="B48" s="43"/>
      <c r="C48" s="55">
        <f>C47-C11-7700-C33</f>
        <v>85523.599999999991</v>
      </c>
      <c r="D48" s="55">
        <f>D47-D11-D33</f>
        <v>29769.001</v>
      </c>
      <c r="E48" s="55">
        <f>C48+D48</f>
        <v>115292.601</v>
      </c>
      <c r="F48" s="55">
        <f>F47-F11-1728.4-1750</f>
        <v>27993</v>
      </c>
      <c r="G48" s="55">
        <f>G47-G11-G33-3773.5</f>
        <v>73500.700000000012</v>
      </c>
      <c r="H48" s="120">
        <f t="shared" ref="H48:H53" si="22">G48+M48</f>
        <v>77159.400000000009</v>
      </c>
      <c r="I48" s="56">
        <f>IF(E48&gt;0,H48/E48,0)</f>
        <v>0.66924849756837401</v>
      </c>
      <c r="J48" s="56">
        <f>IF(F48&gt;0,H48/F48,0)</f>
        <v>2.7563819526310152</v>
      </c>
      <c r="K48" s="55">
        <v>58215.4</v>
      </c>
      <c r="L48" s="56">
        <f t="shared" si="1"/>
        <v>1.325412176159573</v>
      </c>
      <c r="M48" s="120">
        <f>M47-M11-M33-575.9</f>
        <v>3658.6999999999994</v>
      </c>
      <c r="N48" s="55">
        <f>N47-N11-N33-487.3</f>
        <v>2420.5</v>
      </c>
      <c r="O48" s="56">
        <f t="shared" si="2"/>
        <v>1.5115472009915305</v>
      </c>
      <c r="P48" s="55"/>
      <c r="Q48" s="55"/>
      <c r="R48" s="55"/>
    </row>
    <row r="49" spans="1:18" ht="18.75" x14ac:dyDescent="0.3">
      <c r="A49" s="8" t="s">
        <v>36</v>
      </c>
      <c r="B49" s="8">
        <v>2000000000</v>
      </c>
      <c r="C49" s="59">
        <v>482107.96</v>
      </c>
      <c r="D49" s="128">
        <f>64132.126+19975.19</f>
        <v>84107.315999999992</v>
      </c>
      <c r="E49" s="128">
        <f>C49+D49</f>
        <v>566215.27600000007</v>
      </c>
      <c r="F49" s="60">
        <f>34850.65+571.1+470.1+38803.34</f>
        <v>74695.19</v>
      </c>
      <c r="G49" s="60">
        <v>376871.7</v>
      </c>
      <c r="H49" s="60">
        <f t="shared" si="22"/>
        <v>423596.9</v>
      </c>
      <c r="I49" s="61">
        <f t="shared" si="5"/>
        <v>0.74811987234339461</v>
      </c>
      <c r="J49" s="61">
        <f t="shared" si="6"/>
        <v>5.6710063927811145</v>
      </c>
      <c r="K49" s="60">
        <v>206143</v>
      </c>
      <c r="L49" s="61">
        <f t="shared" si="1"/>
        <v>2.0548691927448424</v>
      </c>
      <c r="M49" s="60">
        <v>46725.2</v>
      </c>
      <c r="N49" s="60">
        <v>33278.5</v>
      </c>
      <c r="O49" s="61">
        <f t="shared" si="2"/>
        <v>1.4040656880568534</v>
      </c>
      <c r="P49" s="60"/>
      <c r="Q49" s="60"/>
      <c r="R49" s="60"/>
    </row>
    <row r="50" spans="1:18" ht="18.75" x14ac:dyDescent="0.3">
      <c r="A50" s="8" t="s">
        <v>113</v>
      </c>
      <c r="B50" s="46" t="s">
        <v>102</v>
      </c>
      <c r="C50" s="59">
        <v>91847.7</v>
      </c>
      <c r="D50" s="60">
        <f>-72082.1+83.431</f>
        <v>-71998.669000000009</v>
      </c>
      <c r="E50" s="128">
        <f>C50+D50</f>
        <v>19849.030999999988</v>
      </c>
      <c r="F50" s="60"/>
      <c r="G50" s="60">
        <v>10196</v>
      </c>
      <c r="H50" s="60">
        <f t="shared" si="22"/>
        <v>10824.5</v>
      </c>
      <c r="I50" s="61">
        <f t="shared" si="5"/>
        <v>0.54534148291672302</v>
      </c>
      <c r="J50" s="61">
        <f t="shared" si="6"/>
        <v>0</v>
      </c>
      <c r="K50" s="60">
        <v>767.8</v>
      </c>
      <c r="L50" s="61">
        <f t="shared" si="1"/>
        <v>14.098072414691327</v>
      </c>
      <c r="M50" s="60">
        <v>628.5</v>
      </c>
      <c r="N50" s="60">
        <v>700</v>
      </c>
      <c r="O50" s="61">
        <f t="shared" si="2"/>
        <v>0.89785714285714291</v>
      </c>
      <c r="P50" s="60"/>
      <c r="Q50" s="60"/>
      <c r="R50" s="60"/>
    </row>
    <row r="51" spans="1:18" ht="18.75" x14ac:dyDescent="0.3">
      <c r="A51" s="8" t="s">
        <v>46</v>
      </c>
      <c r="B51" s="46" t="s">
        <v>37</v>
      </c>
      <c r="C51" s="59"/>
      <c r="D51" s="60">
        <f>9741.6</f>
        <v>9741.6</v>
      </c>
      <c r="E51" s="60">
        <f>C51+D51</f>
        <v>9741.6</v>
      </c>
      <c r="F51" s="60"/>
      <c r="G51" s="60">
        <v>7736.2</v>
      </c>
      <c r="H51" s="60">
        <f t="shared" si="22"/>
        <v>9493.7999999999993</v>
      </c>
      <c r="I51" s="61">
        <f t="shared" si="5"/>
        <v>0.97456270017245616</v>
      </c>
      <c r="J51" s="61"/>
      <c r="K51" s="60">
        <v>23.3</v>
      </c>
      <c r="L51" s="61">
        <f t="shared" si="1"/>
        <v>407.4592274678111</v>
      </c>
      <c r="M51" s="60">
        <v>1757.6</v>
      </c>
      <c r="N51" s="60">
        <v>0.6</v>
      </c>
      <c r="O51" s="61">
        <f t="shared" si="2"/>
        <v>2929.3333333333335</v>
      </c>
      <c r="P51" s="60"/>
      <c r="Q51" s="60"/>
      <c r="R51" s="60"/>
    </row>
    <row r="52" spans="1:18" ht="18.75" x14ac:dyDescent="0.3">
      <c r="A52" s="8" t="s">
        <v>116</v>
      </c>
      <c r="B52" s="46" t="s">
        <v>115</v>
      </c>
      <c r="C52" s="59"/>
      <c r="D52" s="60"/>
      <c r="E52" s="60"/>
      <c r="F52" s="60"/>
      <c r="G52" s="60"/>
      <c r="H52" s="60">
        <f t="shared" si="22"/>
        <v>0</v>
      </c>
      <c r="I52" s="61"/>
      <c r="J52" s="61"/>
      <c r="K52" s="60"/>
      <c r="L52" s="61"/>
      <c r="M52" s="60"/>
      <c r="N52" s="60"/>
      <c r="O52" s="61"/>
      <c r="P52" s="60"/>
      <c r="Q52" s="60"/>
      <c r="R52" s="60"/>
    </row>
    <row r="53" spans="1:18" ht="18.75" x14ac:dyDescent="0.3">
      <c r="A53" s="8" t="s">
        <v>93</v>
      </c>
      <c r="B53" s="46" t="s">
        <v>109</v>
      </c>
      <c r="C53" s="59"/>
      <c r="D53" s="128"/>
      <c r="E53" s="128">
        <f>C53+D53</f>
        <v>0</v>
      </c>
      <c r="F53" s="60"/>
      <c r="G53" s="60">
        <v>-5.9</v>
      </c>
      <c r="H53" s="60">
        <f t="shared" si="22"/>
        <v>-5.9</v>
      </c>
      <c r="I53" s="61">
        <f t="shared" si="5"/>
        <v>0</v>
      </c>
      <c r="J53" s="61"/>
      <c r="K53" s="60">
        <v>-5</v>
      </c>
      <c r="L53" s="61">
        <f t="shared" si="1"/>
        <v>0</v>
      </c>
      <c r="M53" s="60"/>
      <c r="N53" s="60">
        <v>-5</v>
      </c>
      <c r="O53" s="61">
        <f t="shared" si="2"/>
        <v>0</v>
      </c>
      <c r="P53" s="60"/>
      <c r="Q53" s="60"/>
      <c r="R53" s="60"/>
    </row>
    <row r="54" spans="1:18" ht="18.75" x14ac:dyDescent="0.3">
      <c r="A54" s="43" t="s">
        <v>2</v>
      </c>
      <c r="B54" s="43">
        <v>0</v>
      </c>
      <c r="C54" s="148">
        <f>C47+C49+C50+C51+C53</f>
        <v>678387.15999999992</v>
      </c>
      <c r="D54" s="148">
        <f>D47+D49+D50+D51+D53</f>
        <v>51619.247999999985</v>
      </c>
      <c r="E54" s="148">
        <f>E47+E49+E50+E51+E53</f>
        <v>730006.40799999994</v>
      </c>
      <c r="F54" s="120">
        <f>F47+F49+F50</f>
        <v>110931.59</v>
      </c>
      <c r="G54" s="120">
        <f>G47+G49+G50+G51+G53+G52</f>
        <v>480406</v>
      </c>
      <c r="H54" s="120">
        <f>H47+H49+H50+H53+H51+H52</f>
        <v>533842.20000000007</v>
      </c>
      <c r="I54" s="56">
        <f t="shared" si="5"/>
        <v>0.73128426565811755</v>
      </c>
      <c r="J54" s="56">
        <f t="shared" si="6"/>
        <v>4.8123550739694627</v>
      </c>
      <c r="K54" s="120">
        <f>K47+K49+K50+K53+K51+K52</f>
        <v>277188.39999999997</v>
      </c>
      <c r="L54" s="56">
        <f t="shared" si="1"/>
        <v>1.925918256319529</v>
      </c>
      <c r="M54" s="120">
        <f>M47+M49+M50+M53+M51+M52</f>
        <v>53436.2</v>
      </c>
      <c r="N54" s="120">
        <f>N47+N49+N50+N53+N51+N52</f>
        <v>37778.699999999997</v>
      </c>
      <c r="O54" s="56">
        <f t="shared" si="2"/>
        <v>1.4144531177621253</v>
      </c>
      <c r="P54" s="55">
        <f>P47+P49+P50</f>
        <v>4360.0999999999995</v>
      </c>
      <c r="Q54" s="55">
        <f>Q47+Q49+Q50</f>
        <v>2929.6</v>
      </c>
      <c r="R54" s="55">
        <f>R47+R49+R50</f>
        <v>2881.5999999999995</v>
      </c>
    </row>
    <row r="55" spans="1:18" ht="19.5" customHeight="1" x14ac:dyDescent="0.2">
      <c r="A55" s="3"/>
      <c r="B55" s="3"/>
      <c r="C55" s="3"/>
    </row>
    <row r="56" spans="1:18" ht="20.25" x14ac:dyDescent="0.3">
      <c r="A56" s="3"/>
      <c r="B56" s="3"/>
      <c r="C56" s="3"/>
      <c r="E56" s="134"/>
      <c r="G56" s="129"/>
      <c r="H56" s="134"/>
    </row>
    <row r="57" spans="1:18" x14ac:dyDescent="0.2">
      <c r="A57" s="3"/>
      <c r="B57" s="3"/>
      <c r="C57" s="3"/>
    </row>
    <row r="58" spans="1:18" x14ac:dyDescent="0.2">
      <c r="A58" s="3"/>
      <c r="B58" s="3"/>
      <c r="C58" s="3"/>
      <c r="H58" s="134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J2"/>
    <mergeCell ref="P2:R2"/>
    <mergeCell ref="K2:L2"/>
    <mergeCell ref="M2:M3"/>
    <mergeCell ref="N2:N3"/>
    <mergeCell ref="O2:O3"/>
  </mergeCells>
  <phoneticPr fontId="0" type="noConversion"/>
  <printOptions horizontalCentered="1"/>
  <pageMargins left="0.39370078740157483" right="0.19685039370078741" top="0.22" bottom="0.19" header="0.51181102362204722" footer="0.51181102362204722"/>
  <pageSetup paperSize="9" scale="54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0"/>
  <sheetViews>
    <sheetView zoomScale="98" zoomScaleNormal="98" workbookViewId="0">
      <pane xSplit="2" ySplit="4" topLeftCell="D11" activePane="bottomRight" state="frozen"/>
      <selection pane="topRight" activeCell="C1" sqref="C1"/>
      <selection pane="bottomLeft" activeCell="A5" sqref="A5"/>
      <selection pane="bottomRight" activeCell="R23" sqref="R23"/>
    </sheetView>
  </sheetViews>
  <sheetFormatPr defaultRowHeight="12.75" x14ac:dyDescent="0.2"/>
  <cols>
    <col min="1" max="1" width="43.7109375" customWidth="1"/>
    <col min="2" max="3" width="14.42578125" customWidth="1"/>
    <col min="4" max="4" width="15.7109375" customWidth="1"/>
    <col min="5" max="5" width="15.140625" customWidth="1"/>
    <col min="6" max="6" width="10.7109375" hidden="1" customWidth="1"/>
    <col min="7" max="7" width="12.85546875" customWidth="1"/>
    <col min="8" max="8" width="12.7109375" customWidth="1"/>
    <col min="9" max="9" width="13.85546875" customWidth="1"/>
    <col min="10" max="10" width="0.140625" customWidth="1"/>
    <col min="11" max="11" width="11.42578125" customWidth="1"/>
    <col min="12" max="12" width="14" customWidth="1"/>
    <col min="13" max="13" width="12.28515625" customWidth="1"/>
    <col min="14" max="14" width="12.5703125" customWidth="1"/>
    <col min="15" max="15" width="13.5703125" customWidth="1"/>
    <col min="16" max="16" width="12" customWidth="1"/>
    <col min="17" max="17" width="9.85546875" customWidth="1"/>
    <col min="18" max="18" width="11" customWidth="1"/>
    <col min="19" max="20" width="9.140625" hidden="1" customWidth="1"/>
    <col min="21" max="21" width="0.140625" hidden="1" customWidth="1"/>
    <col min="22" max="22" width="11.28515625" customWidth="1"/>
  </cols>
  <sheetData>
    <row r="1" spans="1:22" ht="15.75" x14ac:dyDescent="0.25">
      <c r="A1" s="26"/>
      <c r="B1" s="47"/>
      <c r="C1" s="247" t="s">
        <v>11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49"/>
      <c r="P1" s="26"/>
      <c r="Q1" s="26"/>
      <c r="R1" s="26"/>
    </row>
    <row r="2" spans="1:22" ht="15.75" x14ac:dyDescent="0.25">
      <c r="A2" s="26"/>
      <c r="B2" s="248" t="s">
        <v>135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22" ht="13.5" customHeight="1" thickBot="1" x14ac:dyDescent="0.25">
      <c r="A3" s="243" t="s">
        <v>3</v>
      </c>
      <c r="B3" s="245" t="s">
        <v>4</v>
      </c>
      <c r="C3" s="241" t="s">
        <v>124</v>
      </c>
      <c r="D3" s="241" t="s">
        <v>24</v>
      </c>
      <c r="E3" s="241" t="s">
        <v>125</v>
      </c>
      <c r="F3" s="241" t="s">
        <v>99</v>
      </c>
      <c r="G3" s="241" t="s">
        <v>128</v>
      </c>
      <c r="H3" s="241" t="s">
        <v>123</v>
      </c>
      <c r="I3" s="241"/>
      <c r="J3" s="241"/>
      <c r="K3" s="241" t="s">
        <v>117</v>
      </c>
      <c r="L3" s="241"/>
      <c r="M3" s="241" t="s">
        <v>131</v>
      </c>
      <c r="N3" s="241" t="s">
        <v>132</v>
      </c>
      <c r="O3" s="241" t="s">
        <v>30</v>
      </c>
      <c r="P3" s="241" t="s">
        <v>9</v>
      </c>
      <c r="Q3" s="241"/>
      <c r="R3" s="241"/>
    </row>
    <row r="4" spans="1:22" ht="111" customHeight="1" thickBot="1" x14ac:dyDescent="0.25">
      <c r="A4" s="244"/>
      <c r="B4" s="246"/>
      <c r="C4" s="241"/>
      <c r="D4" s="241"/>
      <c r="E4" s="241"/>
      <c r="F4" s="241"/>
      <c r="G4" s="241"/>
      <c r="H4" s="213" t="s">
        <v>133</v>
      </c>
      <c r="I4" s="174" t="s">
        <v>10</v>
      </c>
      <c r="J4" s="174" t="s">
        <v>29</v>
      </c>
      <c r="K4" s="176" t="s">
        <v>133</v>
      </c>
      <c r="L4" s="174" t="s">
        <v>30</v>
      </c>
      <c r="M4" s="241"/>
      <c r="N4" s="241"/>
      <c r="O4" s="241"/>
      <c r="P4" s="121" t="s">
        <v>122</v>
      </c>
      <c r="Q4" s="121" t="s">
        <v>129</v>
      </c>
      <c r="R4" s="121" t="s">
        <v>134</v>
      </c>
      <c r="S4" s="1"/>
      <c r="T4" s="1"/>
      <c r="U4" s="2"/>
    </row>
    <row r="5" spans="1:22" ht="21.75" customHeight="1" x14ac:dyDescent="0.25">
      <c r="A5" s="50" t="s">
        <v>21</v>
      </c>
      <c r="B5" s="51"/>
      <c r="C5" s="177">
        <f t="shared" ref="C5:H5" si="0">C6+C17+C19+C24+C12</f>
        <v>11040.4</v>
      </c>
      <c r="D5" s="177">
        <f t="shared" si="0"/>
        <v>0</v>
      </c>
      <c r="E5" s="177">
        <f t="shared" si="0"/>
        <v>11040.4</v>
      </c>
      <c r="F5" s="177">
        <f t="shared" si="0"/>
        <v>0</v>
      </c>
      <c r="G5" s="177">
        <f t="shared" si="0"/>
        <v>6815.0999999999995</v>
      </c>
      <c r="H5" s="177">
        <f t="shared" si="0"/>
        <v>7880.9</v>
      </c>
      <c r="I5" s="224">
        <f>IF(E5&gt;0,H5/E5,0)</f>
        <v>0.71382377450092382</v>
      </c>
      <c r="J5" s="178">
        <f>IF(F5&gt;0,H5/F5,0)</f>
        <v>0</v>
      </c>
      <c r="K5" s="177">
        <f>K6+K17+K19+K24+K12</f>
        <v>6430</v>
      </c>
      <c r="L5" s="89">
        <f t="shared" ref="L5:L50" si="1">IF(K5&gt;0,H5/K5,0)</f>
        <v>1.2256454121306375</v>
      </c>
      <c r="M5" s="177">
        <f>M6+M17+M19+M24+M12</f>
        <v>1065.8000000000002</v>
      </c>
      <c r="N5" s="177">
        <f>N6+N17+N19+N24+N12</f>
        <v>758.80000000000007</v>
      </c>
      <c r="O5" s="89">
        <f t="shared" ref="O5:O23" si="2">IF(N5&gt;0,M5/N5,0)</f>
        <v>1.4045861887190301</v>
      </c>
      <c r="P5" s="177">
        <f>P6+P17+P19+P24+P12</f>
        <v>605.6</v>
      </c>
      <c r="Q5" s="88">
        <f>Q6+Q17+Q19+Q24+Q12</f>
        <v>368.70000000000005</v>
      </c>
      <c r="R5" s="177">
        <f>R6+R17+R19+R24+R12</f>
        <v>387.70000000000005</v>
      </c>
      <c r="S5" s="4"/>
      <c r="T5" s="4"/>
      <c r="U5" s="4"/>
    </row>
    <row r="6" spans="1:22" ht="18" customHeight="1" x14ac:dyDescent="0.25">
      <c r="A6" s="9" t="s">
        <v>63</v>
      </c>
      <c r="B6" s="52">
        <v>1010200001</v>
      </c>
      <c r="C6" s="179">
        <f t="shared" ref="C6:F6" si="3">C7+C8+C9</f>
        <v>7161.9</v>
      </c>
      <c r="D6" s="179">
        <f t="shared" si="3"/>
        <v>0</v>
      </c>
      <c r="E6" s="179">
        <f>E7+E8+E9+E10+E11</f>
        <v>7161.9</v>
      </c>
      <c r="F6" s="179">
        <f t="shared" si="3"/>
        <v>0</v>
      </c>
      <c r="G6" s="179">
        <f>G7+G8+G9+G10+G11</f>
        <v>5047.9999999999991</v>
      </c>
      <c r="H6" s="179">
        <f>H7+H8+H9+H10+H11</f>
        <v>5706.2</v>
      </c>
      <c r="I6" s="225">
        <f t="shared" ref="I6:I50" si="4">IF(E6&gt;0,H6/E6,0)</f>
        <v>0.79674388081375058</v>
      </c>
      <c r="J6" s="180">
        <f>IF(F6&gt;0,H6/F6,0)</f>
        <v>0</v>
      </c>
      <c r="K6" s="179">
        <f>K7+K8+K9+K10+K11</f>
        <v>4778.3</v>
      </c>
      <c r="L6" s="86">
        <f t="shared" si="1"/>
        <v>1.1941904024443839</v>
      </c>
      <c r="M6" s="179">
        <f>M7+M8+M9+M10+M11</f>
        <v>658.2</v>
      </c>
      <c r="N6" s="179">
        <f>N7+N8+N9+N10</f>
        <v>554.80000000000007</v>
      </c>
      <c r="O6" s="86">
        <f t="shared" si="2"/>
        <v>1.1863734679163662</v>
      </c>
      <c r="P6" s="179">
        <f>SUM(P7:P11)</f>
        <v>145.89999999999998</v>
      </c>
      <c r="Q6" s="179">
        <f t="shared" ref="Q6:R6" si="5">SUM(Q7:Q11)</f>
        <v>91.3</v>
      </c>
      <c r="R6" s="179">
        <f t="shared" si="5"/>
        <v>117.1</v>
      </c>
      <c r="V6" s="150"/>
    </row>
    <row r="7" spans="1:22" ht="18" x14ac:dyDescent="0.25">
      <c r="A7" s="10" t="s">
        <v>44</v>
      </c>
      <c r="B7" s="13">
        <v>1010201001</v>
      </c>
      <c r="C7" s="181">
        <v>6975.9</v>
      </c>
      <c r="D7" s="181"/>
      <c r="E7" s="181">
        <f>C7+D7</f>
        <v>6975.9</v>
      </c>
      <c r="F7" s="181"/>
      <c r="G7" s="181">
        <v>4899.8</v>
      </c>
      <c r="H7" s="181">
        <f>G7+M7</f>
        <v>5556.3</v>
      </c>
      <c r="I7" s="226">
        <f t="shared" si="4"/>
        <v>0.79649937642454749</v>
      </c>
      <c r="J7" s="182">
        <f t="shared" ref="J7:J50" si="6">IF(F7&gt;0,H7/F7,0)</f>
        <v>0</v>
      </c>
      <c r="K7" s="181">
        <v>4628.8999999999996</v>
      </c>
      <c r="L7" s="76">
        <f t="shared" si="1"/>
        <v>1.2003499751560847</v>
      </c>
      <c r="M7" s="181">
        <v>656.5</v>
      </c>
      <c r="N7" s="67">
        <v>554.20000000000005</v>
      </c>
      <c r="O7" s="76">
        <f t="shared" si="2"/>
        <v>1.1845904005774088</v>
      </c>
      <c r="P7" s="181">
        <v>128.69999999999999</v>
      </c>
      <c r="Q7" s="181">
        <v>82</v>
      </c>
      <c r="R7" s="181">
        <v>76.599999999999994</v>
      </c>
      <c r="V7" s="150"/>
    </row>
    <row r="8" spans="1:22" ht="18" x14ac:dyDescent="0.25">
      <c r="A8" s="10" t="s">
        <v>43</v>
      </c>
      <c r="B8" s="13">
        <v>1010202001</v>
      </c>
      <c r="C8" s="181">
        <v>57</v>
      </c>
      <c r="D8" s="181"/>
      <c r="E8" s="181">
        <f>C8+D8</f>
        <v>57</v>
      </c>
      <c r="F8" s="181"/>
      <c r="G8" s="181">
        <v>43.9</v>
      </c>
      <c r="H8" s="181">
        <f>G8+M8</f>
        <v>43.9</v>
      </c>
      <c r="I8" s="226">
        <f t="shared" si="4"/>
        <v>0.77017543859649118</v>
      </c>
      <c r="J8" s="182">
        <f t="shared" si="6"/>
        <v>0</v>
      </c>
      <c r="K8" s="181">
        <v>38.1</v>
      </c>
      <c r="L8" s="76">
        <f t="shared" si="1"/>
        <v>1.1522309711286089</v>
      </c>
      <c r="M8" s="181"/>
      <c r="N8" s="70"/>
      <c r="O8" s="76">
        <f>IF(N8&gt;0,M8/N8,0)</f>
        <v>0</v>
      </c>
      <c r="P8" s="181"/>
      <c r="Q8" s="181"/>
      <c r="R8" s="181"/>
      <c r="V8" s="150"/>
    </row>
    <row r="9" spans="1:22" ht="18" x14ac:dyDescent="0.25">
      <c r="A9" s="10" t="s">
        <v>42</v>
      </c>
      <c r="B9" s="13">
        <v>1010203001</v>
      </c>
      <c r="C9" s="181">
        <v>129</v>
      </c>
      <c r="D9" s="181"/>
      <c r="E9" s="181">
        <f>C9+D9</f>
        <v>129</v>
      </c>
      <c r="F9" s="181"/>
      <c r="G9" s="181">
        <v>60.9</v>
      </c>
      <c r="H9" s="181">
        <f>G9+M9</f>
        <v>60.9</v>
      </c>
      <c r="I9" s="226">
        <f t="shared" si="4"/>
        <v>0.47209302325581393</v>
      </c>
      <c r="J9" s="182">
        <f t="shared" si="6"/>
        <v>0</v>
      </c>
      <c r="K9" s="181">
        <v>109.7</v>
      </c>
      <c r="L9" s="76">
        <f t="shared" si="1"/>
        <v>0.55515041020966271</v>
      </c>
      <c r="M9" s="181"/>
      <c r="N9" s="70">
        <v>0.6</v>
      </c>
      <c r="O9" s="76">
        <f t="shared" si="2"/>
        <v>0</v>
      </c>
      <c r="P9" s="181">
        <v>11.5</v>
      </c>
      <c r="Q9" s="181">
        <v>9.3000000000000007</v>
      </c>
      <c r="R9" s="181">
        <v>40.5</v>
      </c>
      <c r="V9" s="150"/>
    </row>
    <row r="10" spans="1:22" ht="18" x14ac:dyDescent="0.25">
      <c r="A10" s="40" t="s">
        <v>118</v>
      </c>
      <c r="B10" s="166">
        <v>1010208001</v>
      </c>
      <c r="C10" s="181"/>
      <c r="D10" s="181"/>
      <c r="E10" s="181">
        <f>C10+D10</f>
        <v>0</v>
      </c>
      <c r="F10" s="181"/>
      <c r="G10" s="181"/>
      <c r="H10" s="181">
        <f>G10+M10</f>
        <v>0</v>
      </c>
      <c r="I10" s="226">
        <f t="shared" ref="I10" si="7">IF(E10&gt;0,H10/E10,0)</f>
        <v>0</v>
      </c>
      <c r="J10" s="182"/>
      <c r="K10" s="181">
        <v>1.5</v>
      </c>
      <c r="L10" s="76">
        <f t="shared" si="1"/>
        <v>0</v>
      </c>
      <c r="M10" s="181"/>
      <c r="N10" s="181"/>
      <c r="O10" s="76">
        <f t="shared" si="2"/>
        <v>0</v>
      </c>
      <c r="P10" s="181"/>
      <c r="Q10" s="181"/>
      <c r="R10" s="181"/>
      <c r="V10" s="150"/>
    </row>
    <row r="11" spans="1:22" ht="31.5" x14ac:dyDescent="0.25">
      <c r="A11" s="40" t="s">
        <v>121</v>
      </c>
      <c r="B11" s="166">
        <v>1010213001</v>
      </c>
      <c r="C11" s="181"/>
      <c r="D11" s="181"/>
      <c r="E11" s="181">
        <f>C11+D11</f>
        <v>0</v>
      </c>
      <c r="F11" s="181"/>
      <c r="G11" s="181">
        <v>43.4</v>
      </c>
      <c r="H11" s="181">
        <f>G11+M11</f>
        <v>45.1</v>
      </c>
      <c r="I11" s="226">
        <f t="shared" ref="I11" si="8">IF(E11&gt;0,H11/E11,0)</f>
        <v>0</v>
      </c>
      <c r="J11" s="182"/>
      <c r="K11" s="181">
        <v>0.1</v>
      </c>
      <c r="L11" s="76">
        <f t="shared" si="1"/>
        <v>451</v>
      </c>
      <c r="M11" s="181">
        <v>1.7</v>
      </c>
      <c r="N11" s="181"/>
      <c r="O11" s="76"/>
      <c r="P11" s="181">
        <v>5.7</v>
      </c>
      <c r="Q11" s="181"/>
      <c r="R11" s="181"/>
      <c r="V11" s="150"/>
    </row>
    <row r="12" spans="1:22" ht="20.25" customHeight="1" x14ac:dyDescent="0.25">
      <c r="A12" s="11" t="s">
        <v>48</v>
      </c>
      <c r="B12" s="19">
        <v>1030200001</v>
      </c>
      <c r="C12" s="179">
        <f t="shared" ref="C12:H12" si="9">SUM(C13:C16)</f>
        <v>1785.9999999999998</v>
      </c>
      <c r="D12" s="179">
        <f t="shared" si="9"/>
        <v>0</v>
      </c>
      <c r="E12" s="179">
        <f t="shared" si="9"/>
        <v>1785.9999999999998</v>
      </c>
      <c r="F12" s="179">
        <f t="shared" si="9"/>
        <v>0</v>
      </c>
      <c r="G12" s="179">
        <f>G13+G14+G15+G16</f>
        <v>1261.8</v>
      </c>
      <c r="H12" s="179">
        <f t="shared" si="9"/>
        <v>1277.2</v>
      </c>
      <c r="I12" s="225">
        <f>IF(E12&gt;0,H12/E12,0)</f>
        <v>0.71511758118701019</v>
      </c>
      <c r="J12" s="180">
        <f>IF(F12&gt;0,H12/F12,0)</f>
        <v>0</v>
      </c>
      <c r="K12" s="179">
        <f>K13+K14+K15+K16</f>
        <v>1304.6999999999998</v>
      </c>
      <c r="L12" s="86">
        <f t="shared" si="1"/>
        <v>0.97892235763010671</v>
      </c>
      <c r="M12" s="179">
        <f>M13+M14+M15+M16</f>
        <v>15.399999999999999</v>
      </c>
      <c r="N12" s="179">
        <f>N13+N14+N15+N16</f>
        <v>151.9</v>
      </c>
      <c r="O12" s="86">
        <f t="shared" si="2"/>
        <v>0.10138248847926266</v>
      </c>
      <c r="P12" s="179">
        <f>SUM(P13:P16)</f>
        <v>0</v>
      </c>
      <c r="Q12" s="71">
        <f>SUM(Q13:Q16)</f>
        <v>0</v>
      </c>
      <c r="R12" s="179">
        <f>SUM(R13:R16)</f>
        <v>0</v>
      </c>
      <c r="V12" s="150"/>
    </row>
    <row r="13" spans="1:22" ht="18.75" customHeight="1" x14ac:dyDescent="0.25">
      <c r="A13" s="12" t="s">
        <v>49</v>
      </c>
      <c r="B13" s="12">
        <v>1030223101</v>
      </c>
      <c r="C13" s="181">
        <v>931.5</v>
      </c>
      <c r="D13" s="181"/>
      <c r="E13" s="183">
        <f>C13+D13</f>
        <v>931.5</v>
      </c>
      <c r="F13" s="183"/>
      <c r="G13" s="181">
        <v>648.5</v>
      </c>
      <c r="H13" s="183">
        <f>G13+M13</f>
        <v>662.7</v>
      </c>
      <c r="I13" s="227">
        <f>IF(E13&gt;0,H13/E13,0)</f>
        <v>0.71143317230273762</v>
      </c>
      <c r="J13" s="184">
        <f>IF(F13&gt;0,H13/F13,0)</f>
        <v>0</v>
      </c>
      <c r="K13" s="181">
        <v>668.3</v>
      </c>
      <c r="L13" s="69">
        <f t="shared" si="1"/>
        <v>0.99162052970222969</v>
      </c>
      <c r="M13" s="181">
        <v>14.2</v>
      </c>
      <c r="N13" s="70">
        <v>76.7</v>
      </c>
      <c r="O13" s="69">
        <f t="shared" si="2"/>
        <v>0.18513689700130376</v>
      </c>
      <c r="P13" s="181"/>
      <c r="Q13" s="70"/>
      <c r="R13" s="181"/>
      <c r="V13" s="150"/>
    </row>
    <row r="14" spans="1:22" ht="18" customHeight="1" x14ac:dyDescent="0.25">
      <c r="A14" s="12" t="s">
        <v>50</v>
      </c>
      <c r="B14" s="12">
        <v>1030224101</v>
      </c>
      <c r="C14" s="181">
        <v>4.4000000000000004</v>
      </c>
      <c r="D14" s="181"/>
      <c r="E14" s="183">
        <f>C14+D14</f>
        <v>4.4000000000000004</v>
      </c>
      <c r="F14" s="183"/>
      <c r="G14" s="181">
        <v>3.8</v>
      </c>
      <c r="H14" s="183">
        <f>G14+M14</f>
        <v>3.8</v>
      </c>
      <c r="I14" s="227">
        <f>IF(E14&gt;0,H14/E14,0)</f>
        <v>0.86363636363636354</v>
      </c>
      <c r="J14" s="184">
        <f>IF(F14&gt;0,H14/F14,0)</f>
        <v>0</v>
      </c>
      <c r="K14" s="181">
        <v>3.6</v>
      </c>
      <c r="L14" s="69">
        <f t="shared" si="1"/>
        <v>1.0555555555555556</v>
      </c>
      <c r="M14" s="181"/>
      <c r="N14" s="70">
        <v>0.5</v>
      </c>
      <c r="O14" s="69">
        <f t="shared" si="2"/>
        <v>0</v>
      </c>
      <c r="P14" s="181"/>
      <c r="Q14" s="70"/>
      <c r="R14" s="181"/>
      <c r="V14" s="150"/>
    </row>
    <row r="15" spans="1:22" ht="18.75" customHeight="1" x14ac:dyDescent="0.25">
      <c r="A15" s="12" t="s">
        <v>51</v>
      </c>
      <c r="B15" s="12">
        <v>1030225101</v>
      </c>
      <c r="C15" s="181">
        <v>965.8</v>
      </c>
      <c r="D15" s="181"/>
      <c r="E15" s="183">
        <f>C15+D15</f>
        <v>965.8</v>
      </c>
      <c r="F15" s="183"/>
      <c r="G15" s="181">
        <v>683.2</v>
      </c>
      <c r="H15" s="183">
        <f>G15+M15</f>
        <v>696.2</v>
      </c>
      <c r="I15" s="227">
        <f>IF(E15&gt;0,H15/E15,0)</f>
        <v>0.72085317871194876</v>
      </c>
      <c r="J15" s="184">
        <f>IF(F15&gt;0,H15/F15,0)</f>
        <v>0</v>
      </c>
      <c r="K15" s="181">
        <v>711.2</v>
      </c>
      <c r="L15" s="69">
        <f t="shared" si="1"/>
        <v>0.97890888638920137</v>
      </c>
      <c r="M15" s="181">
        <v>13</v>
      </c>
      <c r="N15" s="70">
        <v>83.8</v>
      </c>
      <c r="O15" s="69">
        <f t="shared" si="2"/>
        <v>0.15513126491646778</v>
      </c>
      <c r="P15" s="181"/>
      <c r="Q15" s="70"/>
      <c r="R15" s="181"/>
      <c r="V15" s="150"/>
    </row>
    <row r="16" spans="1:22" ht="18" customHeight="1" x14ac:dyDescent="0.25">
      <c r="A16" s="12" t="s">
        <v>52</v>
      </c>
      <c r="B16" s="12">
        <v>1030226101</v>
      </c>
      <c r="C16" s="181">
        <v>-115.7</v>
      </c>
      <c r="D16" s="181"/>
      <c r="E16" s="183">
        <f>C16+D16</f>
        <v>-115.7</v>
      </c>
      <c r="F16" s="183"/>
      <c r="G16" s="181">
        <v>-73.7</v>
      </c>
      <c r="H16" s="183">
        <f>G16+M16</f>
        <v>-85.5</v>
      </c>
      <c r="I16" s="227">
        <f>H16/E16</f>
        <v>0.73898012100259292</v>
      </c>
      <c r="J16" s="184">
        <f>IF(F16&gt;0,H16/F16,0)</f>
        <v>0</v>
      </c>
      <c r="K16" s="181">
        <v>-78.400000000000006</v>
      </c>
      <c r="L16" s="69">
        <f t="shared" si="1"/>
        <v>0</v>
      </c>
      <c r="M16" s="181">
        <v>-11.8</v>
      </c>
      <c r="N16" s="70">
        <v>-9.1</v>
      </c>
      <c r="O16" s="69">
        <f t="shared" si="2"/>
        <v>0</v>
      </c>
      <c r="P16" s="181"/>
      <c r="Q16" s="70"/>
      <c r="R16" s="181"/>
      <c r="V16" s="150"/>
    </row>
    <row r="17" spans="1:22" ht="18" x14ac:dyDescent="0.25">
      <c r="A17" s="9" t="s">
        <v>70</v>
      </c>
      <c r="B17" s="30">
        <v>1050000000</v>
      </c>
      <c r="C17" s="179">
        <f t="shared" ref="C17:H17" si="10">C18</f>
        <v>22.5</v>
      </c>
      <c r="D17" s="179">
        <f t="shared" si="10"/>
        <v>0</v>
      </c>
      <c r="E17" s="179">
        <f t="shared" si="10"/>
        <v>22.5</v>
      </c>
      <c r="F17" s="179">
        <f t="shared" si="10"/>
        <v>0</v>
      </c>
      <c r="G17" s="179">
        <f>G18</f>
        <v>9.6999999999999993</v>
      </c>
      <c r="H17" s="179">
        <f t="shared" si="10"/>
        <v>9.6999999999999993</v>
      </c>
      <c r="I17" s="228">
        <f t="shared" si="4"/>
        <v>0.43111111111111106</v>
      </c>
      <c r="J17" s="185">
        <f t="shared" si="6"/>
        <v>0</v>
      </c>
      <c r="K17" s="179">
        <f>K18</f>
        <v>-146.30000000000001</v>
      </c>
      <c r="L17" s="65">
        <f t="shared" si="1"/>
        <v>0</v>
      </c>
      <c r="M17" s="179">
        <f>M18</f>
        <v>0</v>
      </c>
      <c r="N17" s="179">
        <f>N18</f>
        <v>0</v>
      </c>
      <c r="O17" s="65">
        <f t="shared" si="2"/>
        <v>0</v>
      </c>
      <c r="P17" s="179">
        <f>P18</f>
        <v>0</v>
      </c>
      <c r="Q17" s="71">
        <f>Q18</f>
        <v>0</v>
      </c>
      <c r="R17" s="179">
        <f>R18</f>
        <v>0</v>
      </c>
      <c r="V17" s="150"/>
    </row>
    <row r="18" spans="1:22" ht="18" x14ac:dyDescent="0.25">
      <c r="A18" s="13" t="s">
        <v>7</v>
      </c>
      <c r="B18" s="13">
        <v>1050300001</v>
      </c>
      <c r="C18" s="181">
        <v>22.5</v>
      </c>
      <c r="D18" s="181"/>
      <c r="E18" s="183">
        <f>C18+D18</f>
        <v>22.5</v>
      </c>
      <c r="F18" s="183"/>
      <c r="G18" s="181">
        <v>9.6999999999999993</v>
      </c>
      <c r="H18" s="183">
        <f>G18+M18</f>
        <v>9.6999999999999993</v>
      </c>
      <c r="I18" s="227">
        <f t="shared" si="4"/>
        <v>0.43111111111111106</v>
      </c>
      <c r="J18" s="184">
        <f t="shared" si="6"/>
        <v>0</v>
      </c>
      <c r="K18" s="181">
        <v>-146.30000000000001</v>
      </c>
      <c r="L18" s="69">
        <f t="shared" si="1"/>
        <v>0</v>
      </c>
      <c r="M18" s="181"/>
      <c r="N18" s="181"/>
      <c r="O18" s="69">
        <f t="shared" si="2"/>
        <v>0</v>
      </c>
      <c r="P18" s="181"/>
      <c r="Q18" s="70"/>
      <c r="R18" s="181"/>
      <c r="V18" s="150"/>
    </row>
    <row r="19" spans="1:22" ht="18" x14ac:dyDescent="0.25">
      <c r="A19" s="9" t="s">
        <v>71</v>
      </c>
      <c r="B19" s="30">
        <v>1060000000</v>
      </c>
      <c r="C19" s="179">
        <f t="shared" ref="C19:H19" si="11">C20+C23</f>
        <v>2070</v>
      </c>
      <c r="D19" s="179">
        <f t="shared" si="11"/>
        <v>0</v>
      </c>
      <c r="E19" s="179">
        <f t="shared" si="11"/>
        <v>2070</v>
      </c>
      <c r="F19" s="179">
        <f t="shared" si="11"/>
        <v>0</v>
      </c>
      <c r="G19" s="179">
        <f>G20+G23</f>
        <v>495.6</v>
      </c>
      <c r="H19" s="179">
        <f t="shared" si="11"/>
        <v>887.8</v>
      </c>
      <c r="I19" s="228">
        <f t="shared" si="4"/>
        <v>0.42888888888888888</v>
      </c>
      <c r="J19" s="185">
        <f t="shared" si="6"/>
        <v>0</v>
      </c>
      <c r="K19" s="179">
        <f>K20+K23</f>
        <v>493.29999999999995</v>
      </c>
      <c r="L19" s="65">
        <f t="shared" si="1"/>
        <v>1.7997161970403406</v>
      </c>
      <c r="M19" s="179">
        <f>M20+M23</f>
        <v>392.2</v>
      </c>
      <c r="N19" s="179">
        <f>N20+N23</f>
        <v>52.1</v>
      </c>
      <c r="O19" s="65">
        <f t="shared" si="2"/>
        <v>7.5278310940499038</v>
      </c>
      <c r="P19" s="179">
        <f>P20+P23</f>
        <v>459.70000000000005</v>
      </c>
      <c r="Q19" s="71">
        <f>Q20+Q23</f>
        <v>277.40000000000003</v>
      </c>
      <c r="R19" s="179">
        <f>R20+R23</f>
        <v>270.60000000000002</v>
      </c>
      <c r="V19" s="150"/>
    </row>
    <row r="20" spans="1:22" ht="18" x14ac:dyDescent="0.25">
      <c r="A20" s="13" t="s">
        <v>13</v>
      </c>
      <c r="B20" s="13">
        <v>1060600000</v>
      </c>
      <c r="C20" s="181">
        <f>C21+C22</f>
        <v>1063</v>
      </c>
      <c r="D20" s="181"/>
      <c r="E20" s="181">
        <f t="shared" ref="E20:H20" si="12">E21+E22</f>
        <v>1063</v>
      </c>
      <c r="F20" s="181">
        <f t="shared" si="12"/>
        <v>0</v>
      </c>
      <c r="G20" s="181">
        <f>G21+G22</f>
        <v>416.1</v>
      </c>
      <c r="H20" s="181">
        <f t="shared" si="12"/>
        <v>483.3</v>
      </c>
      <c r="I20" s="227">
        <f t="shared" si="4"/>
        <v>0.45465663217309504</v>
      </c>
      <c r="J20" s="184">
        <f t="shared" si="6"/>
        <v>0</v>
      </c>
      <c r="K20" s="181">
        <f>K21+K22</f>
        <v>427.9</v>
      </c>
      <c r="L20" s="69">
        <f t="shared" si="1"/>
        <v>1.1294695022201451</v>
      </c>
      <c r="M20" s="70">
        <f>M21+M22</f>
        <v>67.2</v>
      </c>
      <c r="N20" s="70">
        <f>N21+N22</f>
        <v>8.2000000000000011</v>
      </c>
      <c r="O20" s="69">
        <f t="shared" si="2"/>
        <v>8.1951219512195106</v>
      </c>
      <c r="P20" s="181">
        <f>P21+P22</f>
        <v>196.4</v>
      </c>
      <c r="Q20" s="181">
        <f>Q21+Q22</f>
        <v>95.100000000000009</v>
      </c>
      <c r="R20" s="181">
        <f>R21+R22</f>
        <v>93.100000000000009</v>
      </c>
      <c r="V20" s="150"/>
    </row>
    <row r="21" spans="1:22" ht="18" x14ac:dyDescent="0.25">
      <c r="A21" s="13" t="s">
        <v>100</v>
      </c>
      <c r="B21" s="13">
        <v>1060603313</v>
      </c>
      <c r="C21" s="181">
        <v>575</v>
      </c>
      <c r="D21" s="181"/>
      <c r="E21" s="183">
        <f>C21+D21</f>
        <v>575</v>
      </c>
      <c r="F21" s="183"/>
      <c r="G21" s="181">
        <v>363.3</v>
      </c>
      <c r="H21" s="183">
        <f>G21+M21</f>
        <v>357</v>
      </c>
      <c r="I21" s="227">
        <f t="shared" si="4"/>
        <v>0.62086956521739134</v>
      </c>
      <c r="J21" s="184">
        <f t="shared" si="6"/>
        <v>0</v>
      </c>
      <c r="K21" s="181">
        <v>395</v>
      </c>
      <c r="L21" s="69">
        <f t="shared" si="1"/>
        <v>0.90379746835443042</v>
      </c>
      <c r="M21" s="181">
        <v>-6.3</v>
      </c>
      <c r="N21" s="70">
        <v>-14.6</v>
      </c>
      <c r="O21" s="69">
        <f t="shared" si="2"/>
        <v>0</v>
      </c>
      <c r="P21" s="181">
        <v>55.6</v>
      </c>
      <c r="Q21" s="181">
        <v>4.4000000000000004</v>
      </c>
      <c r="R21" s="181">
        <v>3.9</v>
      </c>
      <c r="V21" s="150"/>
    </row>
    <row r="22" spans="1:22" ht="18" x14ac:dyDescent="0.25">
      <c r="A22" s="13" t="s">
        <v>101</v>
      </c>
      <c r="B22" s="13">
        <v>1060604313</v>
      </c>
      <c r="C22" s="181">
        <v>488</v>
      </c>
      <c r="D22" s="181"/>
      <c r="E22" s="183">
        <f>C22+D22</f>
        <v>488</v>
      </c>
      <c r="F22" s="183"/>
      <c r="G22" s="181">
        <v>52.8</v>
      </c>
      <c r="H22" s="183">
        <f>G22+M22</f>
        <v>126.3</v>
      </c>
      <c r="I22" s="227">
        <f t="shared" si="4"/>
        <v>0.25881147540983607</v>
      </c>
      <c r="J22" s="184">
        <f t="shared" si="6"/>
        <v>0</v>
      </c>
      <c r="K22" s="181">
        <v>32.9</v>
      </c>
      <c r="L22" s="69">
        <f t="shared" si="1"/>
        <v>3.8389057750759878</v>
      </c>
      <c r="M22" s="181">
        <v>73.5</v>
      </c>
      <c r="N22" s="70">
        <v>22.8</v>
      </c>
      <c r="O22" s="69">
        <f t="shared" si="2"/>
        <v>3.2236842105263155</v>
      </c>
      <c r="P22" s="181">
        <v>140.80000000000001</v>
      </c>
      <c r="Q22" s="181">
        <v>90.7</v>
      </c>
      <c r="R22" s="181">
        <v>89.2</v>
      </c>
      <c r="V22" s="150"/>
    </row>
    <row r="23" spans="1:22" ht="18" x14ac:dyDescent="0.25">
      <c r="A23" s="13" t="s">
        <v>12</v>
      </c>
      <c r="B23" s="13">
        <v>1060103013</v>
      </c>
      <c r="C23" s="181">
        <v>1007</v>
      </c>
      <c r="D23" s="181"/>
      <c r="E23" s="183">
        <f>C23+D23</f>
        <v>1007</v>
      </c>
      <c r="F23" s="183"/>
      <c r="G23" s="181">
        <v>79.5</v>
      </c>
      <c r="H23" s="183">
        <f>G23+M23</f>
        <v>404.5</v>
      </c>
      <c r="I23" s="227">
        <f t="shared" si="4"/>
        <v>0.4016881827209533</v>
      </c>
      <c r="J23" s="184">
        <f t="shared" si="6"/>
        <v>0</v>
      </c>
      <c r="K23" s="181">
        <v>65.400000000000006</v>
      </c>
      <c r="L23" s="69">
        <f t="shared" si="1"/>
        <v>6.1850152905198774</v>
      </c>
      <c r="M23" s="181">
        <v>325</v>
      </c>
      <c r="N23" s="70">
        <v>43.9</v>
      </c>
      <c r="O23" s="69">
        <f t="shared" si="2"/>
        <v>7.4031890660592259</v>
      </c>
      <c r="P23" s="181">
        <v>263.3</v>
      </c>
      <c r="Q23" s="181">
        <v>182.3</v>
      </c>
      <c r="R23" s="181">
        <v>177.5</v>
      </c>
      <c r="V23" s="150"/>
    </row>
    <row r="24" spans="1:22" ht="1.5" customHeight="1" x14ac:dyDescent="0.25">
      <c r="A24" s="9" t="s">
        <v>73</v>
      </c>
      <c r="B24" s="30">
        <v>1090405010</v>
      </c>
      <c r="C24" s="179"/>
      <c r="D24" s="179"/>
      <c r="E24" s="186">
        <f>C24+D24</f>
        <v>0</v>
      </c>
      <c r="F24" s="186"/>
      <c r="G24" s="179"/>
      <c r="H24" s="186">
        <f>G24+M24</f>
        <v>0</v>
      </c>
      <c r="I24" s="228">
        <f t="shared" si="4"/>
        <v>0</v>
      </c>
      <c r="J24" s="185">
        <f t="shared" si="6"/>
        <v>0</v>
      </c>
      <c r="K24" s="179"/>
      <c r="L24" s="65">
        <f t="shared" si="1"/>
        <v>0</v>
      </c>
      <c r="M24" s="179"/>
      <c r="N24" s="179"/>
      <c r="O24" s="65">
        <f t="shared" ref="O24:O39" si="13">IF(N24&gt;0,M24/N24,0)</f>
        <v>0</v>
      </c>
      <c r="P24" s="179"/>
      <c r="Q24" s="71"/>
      <c r="R24" s="179"/>
      <c r="V24" s="150"/>
    </row>
    <row r="25" spans="1:22" ht="18" x14ac:dyDescent="0.25">
      <c r="A25" s="14" t="s">
        <v>22</v>
      </c>
      <c r="B25" s="32"/>
      <c r="C25" s="187">
        <f>C26+C32+C35+C39+C40</f>
        <v>2823.5</v>
      </c>
      <c r="D25" s="187">
        <f>D26+D32+D35+D39+D40</f>
        <v>849.06099999999992</v>
      </c>
      <c r="E25" s="239">
        <f>E26+E34+E37+E40+E39+E36+E33+E38</f>
        <v>4462.4940000000006</v>
      </c>
      <c r="F25" s="187">
        <f>F26+F34+F37+F40+F39+F36+F33+F38</f>
        <v>0</v>
      </c>
      <c r="G25" s="187">
        <f>G26+G32+G35+G39+G40</f>
        <v>3813.1</v>
      </c>
      <c r="H25" s="187">
        <f>H26+H34+H37+H40+H39+H36+H33+H38</f>
        <v>4089.4999999999995</v>
      </c>
      <c r="I25" s="229">
        <f t="shared" si="4"/>
        <v>0.9164157979820251</v>
      </c>
      <c r="J25" s="188">
        <f t="shared" si="6"/>
        <v>0</v>
      </c>
      <c r="K25" s="187">
        <f>K26+K32+K35+K39+K40</f>
        <v>1564.6999999999998</v>
      </c>
      <c r="L25" s="63">
        <f t="shared" si="1"/>
        <v>2.613600051128012</v>
      </c>
      <c r="M25" s="187">
        <f>M26+M32+M35+M39+M40</f>
        <v>276.39999999999998</v>
      </c>
      <c r="N25" s="187">
        <f>N26+N32+N35+N39+N40</f>
        <v>285</v>
      </c>
      <c r="O25" s="63">
        <f t="shared" si="13"/>
        <v>0.9698245614035087</v>
      </c>
      <c r="P25" s="187">
        <f>P26+P33+P36+P39+P38+P35</f>
        <v>502</v>
      </c>
      <c r="Q25" s="75">
        <f>Q26+Q33+Q36+Q39+Q38+Q35</f>
        <v>260.89999999999998</v>
      </c>
      <c r="R25" s="187">
        <f>R26+R33+R36+R39+R38+R35</f>
        <v>403.6</v>
      </c>
      <c r="V25" s="150"/>
    </row>
    <row r="26" spans="1:22" ht="18" x14ac:dyDescent="0.25">
      <c r="A26" s="9" t="s">
        <v>74</v>
      </c>
      <c r="B26" s="30">
        <v>1110000000</v>
      </c>
      <c r="C26" s="179">
        <f t="shared" ref="C26:H26" si="14">C27+C30+C31+C28+C29</f>
        <v>1983</v>
      </c>
      <c r="D26" s="179">
        <f t="shared" si="14"/>
        <v>-5</v>
      </c>
      <c r="E26" s="179">
        <f t="shared" si="14"/>
        <v>1978</v>
      </c>
      <c r="F26" s="179">
        <f t="shared" si="14"/>
        <v>0</v>
      </c>
      <c r="G26" s="179">
        <f>G27+G30+G31+G28+G29</f>
        <v>1635.1</v>
      </c>
      <c r="H26" s="179">
        <f t="shared" si="14"/>
        <v>1860.9</v>
      </c>
      <c r="I26" s="228">
        <f t="shared" si="4"/>
        <v>0.94079878665318506</v>
      </c>
      <c r="J26" s="185">
        <f t="shared" si="6"/>
        <v>0</v>
      </c>
      <c r="K26" s="179">
        <f>K27+K30+K31+K28+K29</f>
        <v>1401.6999999999998</v>
      </c>
      <c r="L26" s="65">
        <f t="shared" si="1"/>
        <v>1.3276021973318115</v>
      </c>
      <c r="M26" s="179">
        <f>M27+M30+M31+M28+M29</f>
        <v>225.8</v>
      </c>
      <c r="N26" s="179">
        <f>N27+N30+N31+N28+N29</f>
        <v>179.2</v>
      </c>
      <c r="O26" s="65">
        <f t="shared" si="13"/>
        <v>1.260044642857143</v>
      </c>
      <c r="P26" s="179">
        <f>P27+P29+P30</f>
        <v>502</v>
      </c>
      <c r="Q26" s="71">
        <f>Q27+Q29+Q30</f>
        <v>260.89999999999998</v>
      </c>
      <c r="R26" s="179">
        <f>R27+R29+R30</f>
        <v>403.6</v>
      </c>
      <c r="V26" s="150"/>
    </row>
    <row r="27" spans="1:22" ht="18.75" x14ac:dyDescent="0.3">
      <c r="A27" s="53" t="s">
        <v>97</v>
      </c>
      <c r="B27" s="13">
        <v>1110501313</v>
      </c>
      <c r="C27" s="181">
        <v>960</v>
      </c>
      <c r="D27" s="181">
        <v>-5</v>
      </c>
      <c r="E27" s="183">
        <f t="shared" ref="E27:E36" si="15">C27+D27</f>
        <v>955</v>
      </c>
      <c r="F27" s="183"/>
      <c r="G27" s="181">
        <v>917.6</v>
      </c>
      <c r="H27" s="183">
        <f t="shared" ref="H27:H39" si="16">G27+M27</f>
        <v>1053.9000000000001</v>
      </c>
      <c r="I27" s="227">
        <f t="shared" si="4"/>
        <v>1.1035602094240839</v>
      </c>
      <c r="J27" s="184">
        <f t="shared" si="6"/>
        <v>0</v>
      </c>
      <c r="K27" s="181">
        <v>764.5</v>
      </c>
      <c r="L27" s="69">
        <f t="shared" si="1"/>
        <v>1.3785480706344018</v>
      </c>
      <c r="M27" s="181">
        <v>136.30000000000001</v>
      </c>
      <c r="N27" s="70">
        <v>113.6</v>
      </c>
      <c r="O27" s="69">
        <f t="shared" si="13"/>
        <v>1.199823943661972</v>
      </c>
      <c r="P27" s="189">
        <v>502</v>
      </c>
      <c r="Q27" s="189">
        <v>260.89999999999998</v>
      </c>
      <c r="R27" s="189">
        <v>403.6</v>
      </c>
      <c r="V27" s="150"/>
    </row>
    <row r="28" spans="1:22" ht="18.75" x14ac:dyDescent="0.3">
      <c r="A28" s="13" t="s">
        <v>98</v>
      </c>
      <c r="B28" s="13">
        <v>1110502513</v>
      </c>
      <c r="C28" s="181">
        <v>27</v>
      </c>
      <c r="D28" s="181"/>
      <c r="E28" s="183">
        <f t="shared" si="15"/>
        <v>27</v>
      </c>
      <c r="F28" s="183"/>
      <c r="G28" s="181">
        <v>7.7</v>
      </c>
      <c r="H28" s="183">
        <f>G28+M28</f>
        <v>8.4</v>
      </c>
      <c r="I28" s="227">
        <f>IF(E28&gt;0,H28/E28,0)</f>
        <v>0.31111111111111112</v>
      </c>
      <c r="J28" s="184"/>
      <c r="K28" s="181">
        <v>6.3</v>
      </c>
      <c r="L28" s="69">
        <f t="shared" si="1"/>
        <v>1.3333333333333335</v>
      </c>
      <c r="M28" s="181">
        <v>0.7</v>
      </c>
      <c r="N28" s="70">
        <v>0.6</v>
      </c>
      <c r="O28" s="69">
        <f t="shared" si="13"/>
        <v>1.1666666666666667</v>
      </c>
      <c r="P28" s="189"/>
      <c r="Q28" s="60"/>
      <c r="R28" s="189"/>
      <c r="V28" s="150"/>
    </row>
    <row r="29" spans="1:22" ht="18.75" x14ac:dyDescent="0.3">
      <c r="A29" s="13" t="s">
        <v>110</v>
      </c>
      <c r="B29" s="13">
        <v>1110507513</v>
      </c>
      <c r="C29" s="181">
        <v>477</v>
      </c>
      <c r="D29" s="181"/>
      <c r="E29" s="183">
        <f t="shared" si="15"/>
        <v>477</v>
      </c>
      <c r="F29" s="183"/>
      <c r="G29" s="181">
        <v>271.10000000000002</v>
      </c>
      <c r="H29" s="183">
        <f>G29+M29</f>
        <v>305</v>
      </c>
      <c r="I29" s="227">
        <f>IF(E29&gt;0,H29/E29,0)</f>
        <v>0.63941299790356398</v>
      </c>
      <c r="J29" s="184"/>
      <c r="K29" s="181">
        <v>289.89999999999998</v>
      </c>
      <c r="L29" s="69"/>
      <c r="M29" s="181">
        <v>33.9</v>
      </c>
      <c r="N29" s="70">
        <v>32.200000000000003</v>
      </c>
      <c r="O29" s="69"/>
      <c r="P29" s="189"/>
      <c r="Q29" s="60"/>
      <c r="R29" s="189"/>
      <c r="V29" s="150"/>
    </row>
    <row r="30" spans="1:22" ht="18" x14ac:dyDescent="0.25">
      <c r="A30" s="13" t="s">
        <v>23</v>
      </c>
      <c r="B30" s="13">
        <v>1110904513</v>
      </c>
      <c r="C30" s="181">
        <v>519</v>
      </c>
      <c r="D30" s="181"/>
      <c r="E30" s="183">
        <f t="shared" si="15"/>
        <v>519</v>
      </c>
      <c r="F30" s="183"/>
      <c r="G30" s="181">
        <v>438.7</v>
      </c>
      <c r="H30" s="183">
        <f t="shared" si="16"/>
        <v>493.59999999999997</v>
      </c>
      <c r="I30" s="227">
        <f t="shared" si="4"/>
        <v>0.95105973025048163</v>
      </c>
      <c r="J30" s="184">
        <f t="shared" si="6"/>
        <v>0</v>
      </c>
      <c r="K30" s="181">
        <v>341</v>
      </c>
      <c r="L30" s="69">
        <f t="shared" si="1"/>
        <v>1.4475073313782991</v>
      </c>
      <c r="M30" s="181">
        <v>54.9</v>
      </c>
      <c r="N30" s="70">
        <v>32.799999999999997</v>
      </c>
      <c r="O30" s="69">
        <f t="shared" si="13"/>
        <v>1.6737804878048781</v>
      </c>
      <c r="P30" s="181"/>
      <c r="Q30" s="70"/>
      <c r="R30" s="181"/>
      <c r="V30" s="150"/>
    </row>
    <row r="31" spans="1:22" ht="10.5" hidden="1" customHeight="1" x14ac:dyDescent="0.25">
      <c r="A31" s="31" t="s">
        <v>18</v>
      </c>
      <c r="B31" s="13">
        <v>1110903513</v>
      </c>
      <c r="C31" s="181"/>
      <c r="D31" s="181"/>
      <c r="E31" s="183">
        <f t="shared" si="15"/>
        <v>0</v>
      </c>
      <c r="F31" s="183"/>
      <c r="G31" s="181"/>
      <c r="H31" s="183">
        <f t="shared" si="16"/>
        <v>0</v>
      </c>
      <c r="I31" s="227">
        <f t="shared" si="4"/>
        <v>0</v>
      </c>
      <c r="J31" s="184">
        <f t="shared" si="6"/>
        <v>0</v>
      </c>
      <c r="K31" s="181"/>
      <c r="L31" s="69">
        <f t="shared" si="1"/>
        <v>0</v>
      </c>
      <c r="M31" s="181"/>
      <c r="N31" s="181"/>
      <c r="O31" s="69">
        <f t="shared" si="13"/>
        <v>0</v>
      </c>
      <c r="P31" s="181"/>
      <c r="Q31" s="70"/>
      <c r="R31" s="181"/>
      <c r="V31" s="150"/>
    </row>
    <row r="32" spans="1:22" ht="18.75" x14ac:dyDescent="0.3">
      <c r="A32" s="136" t="s">
        <v>66</v>
      </c>
      <c r="B32" s="137">
        <v>1130000000</v>
      </c>
      <c r="C32" s="190">
        <f>C33+C34</f>
        <v>37</v>
      </c>
      <c r="D32" s="190">
        <f>D33+D34</f>
        <v>0</v>
      </c>
      <c r="E32" s="191">
        <f>C32+D32</f>
        <v>37</v>
      </c>
      <c r="F32" s="191"/>
      <c r="G32" s="190">
        <f>G33+G34</f>
        <v>9.5</v>
      </c>
      <c r="H32" s="191">
        <f t="shared" si="16"/>
        <v>11.6</v>
      </c>
      <c r="I32" s="230">
        <f t="shared" si="4"/>
        <v>0.31351351351351353</v>
      </c>
      <c r="J32" s="192"/>
      <c r="K32" s="190">
        <f>K33+K34</f>
        <v>17.100000000000001</v>
      </c>
      <c r="L32" s="233">
        <f t="shared" si="1"/>
        <v>0.67836257309941517</v>
      </c>
      <c r="M32" s="190">
        <f>M33+M34</f>
        <v>2.1</v>
      </c>
      <c r="N32" s="190">
        <f>N33+N34</f>
        <v>0.8</v>
      </c>
      <c r="O32" s="233">
        <f t="shared" si="13"/>
        <v>2.625</v>
      </c>
      <c r="P32" s="190">
        <f>P33+P34</f>
        <v>0</v>
      </c>
      <c r="Q32" s="202">
        <f>Q33+Q34</f>
        <v>0</v>
      </c>
      <c r="R32" s="190">
        <f>R33+R34</f>
        <v>0</v>
      </c>
      <c r="V32" s="150"/>
    </row>
    <row r="33" spans="1:22" ht="18" x14ac:dyDescent="0.25">
      <c r="A33" s="45" t="s">
        <v>103</v>
      </c>
      <c r="B33" s="15">
        <v>1130206513</v>
      </c>
      <c r="C33" s="193">
        <v>37</v>
      </c>
      <c r="D33" s="193"/>
      <c r="E33" s="194">
        <f t="shared" si="15"/>
        <v>37</v>
      </c>
      <c r="F33" s="194"/>
      <c r="G33" s="193">
        <v>9.5</v>
      </c>
      <c r="H33" s="194">
        <f t="shared" si="16"/>
        <v>11.6</v>
      </c>
      <c r="I33" s="231">
        <f t="shared" si="4"/>
        <v>0.31351351351351353</v>
      </c>
      <c r="J33" s="195"/>
      <c r="K33" s="193">
        <v>17.100000000000001</v>
      </c>
      <c r="L33" s="234">
        <f t="shared" si="1"/>
        <v>0.67836257309941517</v>
      </c>
      <c r="M33" s="193">
        <v>2.1</v>
      </c>
      <c r="N33" s="240">
        <v>0.8</v>
      </c>
      <c r="O33" s="234">
        <f t="shared" si="13"/>
        <v>2.625</v>
      </c>
      <c r="P33" s="193"/>
      <c r="Q33" s="203"/>
      <c r="R33" s="193"/>
      <c r="V33" s="150"/>
    </row>
    <row r="34" spans="1:22" ht="18" x14ac:dyDescent="0.25">
      <c r="A34" s="15" t="s">
        <v>38</v>
      </c>
      <c r="B34" s="15">
        <v>1130299513</v>
      </c>
      <c r="C34" s="193"/>
      <c r="D34" s="193"/>
      <c r="E34" s="194">
        <f t="shared" si="15"/>
        <v>0</v>
      </c>
      <c r="F34" s="194"/>
      <c r="G34" s="193"/>
      <c r="H34" s="194">
        <f t="shared" si="16"/>
        <v>0</v>
      </c>
      <c r="I34" s="231">
        <f t="shared" si="4"/>
        <v>0</v>
      </c>
      <c r="J34" s="195">
        <f t="shared" si="6"/>
        <v>0</v>
      </c>
      <c r="K34" s="193"/>
      <c r="L34" s="234">
        <f t="shared" si="1"/>
        <v>0</v>
      </c>
      <c r="M34" s="193"/>
      <c r="N34" s="193"/>
      <c r="O34" s="234">
        <f t="shared" si="13"/>
        <v>0</v>
      </c>
      <c r="P34" s="193"/>
      <c r="Q34" s="203"/>
      <c r="R34" s="193"/>
      <c r="V34" s="150"/>
    </row>
    <row r="35" spans="1:22" ht="18.75" x14ac:dyDescent="0.3">
      <c r="A35" s="136" t="s">
        <v>67</v>
      </c>
      <c r="B35" s="137">
        <v>1140000000</v>
      </c>
      <c r="C35" s="196">
        <f>C36+C37+C38</f>
        <v>783.5</v>
      </c>
      <c r="D35" s="196">
        <f>D36+D37+D38</f>
        <v>588.69999999999982</v>
      </c>
      <c r="E35" s="191">
        <f t="shared" si="15"/>
        <v>1372.1999999999998</v>
      </c>
      <c r="F35" s="191"/>
      <c r="G35" s="196">
        <f>G36+G37+G38</f>
        <v>1103.5</v>
      </c>
      <c r="H35" s="191">
        <f t="shared" si="16"/>
        <v>1150.3</v>
      </c>
      <c r="I35" s="230">
        <f>IF(E35&gt;0,H35/E35,0)</f>
        <v>0.83828887917213246</v>
      </c>
      <c r="J35" s="192"/>
      <c r="K35" s="196">
        <f>K36+K37+K38</f>
        <v>107.2</v>
      </c>
      <c r="L35" s="233">
        <f>IF(K35&gt;0,H35/K35,0)</f>
        <v>10.730410447761193</v>
      </c>
      <c r="M35" s="196">
        <f>M36+M37+M38</f>
        <v>46.8</v>
      </c>
      <c r="N35" s="196">
        <f>N36+N37+N38</f>
        <v>104.7</v>
      </c>
      <c r="O35" s="233">
        <f t="shared" si="13"/>
        <v>0.44699140401146126</v>
      </c>
      <c r="P35" s="196">
        <f>P36+P37+P38</f>
        <v>0</v>
      </c>
      <c r="Q35" s="204">
        <f>Q36+Q37+Q38</f>
        <v>0</v>
      </c>
      <c r="R35" s="196">
        <f>R36+R37+R38</f>
        <v>0</v>
      </c>
      <c r="V35" s="150"/>
    </row>
    <row r="36" spans="1:22" ht="18" x14ac:dyDescent="0.25">
      <c r="A36" s="15" t="s">
        <v>75</v>
      </c>
      <c r="B36" s="15">
        <v>1140205313</v>
      </c>
      <c r="C36" s="193">
        <v>183.5</v>
      </c>
      <c r="D36" s="193"/>
      <c r="E36" s="194">
        <f t="shared" si="15"/>
        <v>183.5</v>
      </c>
      <c r="F36" s="194"/>
      <c r="G36" s="193"/>
      <c r="H36" s="194">
        <f t="shared" si="16"/>
        <v>0</v>
      </c>
      <c r="I36" s="231">
        <f>IF(E36&gt;0,H36/E36,0)</f>
        <v>0</v>
      </c>
      <c r="J36" s="195">
        <f>IF(F36&gt;0,H36/F36,0)</f>
        <v>0</v>
      </c>
      <c r="K36" s="193">
        <v>8.8000000000000007</v>
      </c>
      <c r="L36" s="234">
        <f>IF(K36&gt;0,H36/K36,0)</f>
        <v>0</v>
      </c>
      <c r="M36" s="193"/>
      <c r="N36" s="240">
        <v>8.8000000000000007</v>
      </c>
      <c r="O36" s="234">
        <f t="shared" si="13"/>
        <v>0</v>
      </c>
      <c r="P36" s="193"/>
      <c r="Q36" s="203"/>
      <c r="R36" s="193"/>
      <c r="V36" s="150"/>
    </row>
    <row r="37" spans="1:22" ht="18" x14ac:dyDescent="0.25">
      <c r="A37" s="15" t="s">
        <v>104</v>
      </c>
      <c r="B37" s="15">
        <v>1140601313</v>
      </c>
      <c r="C37" s="193">
        <v>600</v>
      </c>
      <c r="D37" s="193">
        <f>2488.7-1900-592.1</f>
        <v>-3.4000000000002046</v>
      </c>
      <c r="E37" s="194">
        <f>C37+D37</f>
        <v>596.5999999999998</v>
      </c>
      <c r="F37" s="194"/>
      <c r="G37" s="193">
        <v>511.4</v>
      </c>
      <c r="H37" s="194">
        <f t="shared" si="16"/>
        <v>558.19999999999993</v>
      </c>
      <c r="I37" s="231">
        <f t="shared" si="4"/>
        <v>0.93563526651022477</v>
      </c>
      <c r="J37" s="195">
        <f t="shared" si="6"/>
        <v>0</v>
      </c>
      <c r="K37" s="193">
        <v>98.4</v>
      </c>
      <c r="L37" s="234">
        <f t="shared" si="1"/>
        <v>5.6727642276422756</v>
      </c>
      <c r="M37" s="193">
        <v>46.8</v>
      </c>
      <c r="N37" s="240">
        <v>95.9</v>
      </c>
      <c r="O37" s="234">
        <f t="shared" si="13"/>
        <v>0.48800834202294052</v>
      </c>
      <c r="P37" s="193"/>
      <c r="Q37" s="203"/>
      <c r="R37" s="193"/>
      <c r="V37" s="150"/>
    </row>
    <row r="38" spans="1:22" ht="18" x14ac:dyDescent="0.25">
      <c r="A38" s="15" t="s">
        <v>105</v>
      </c>
      <c r="B38" s="138">
        <v>1140602513</v>
      </c>
      <c r="C38" s="197"/>
      <c r="D38" s="193">
        <v>592.1</v>
      </c>
      <c r="E38" s="194">
        <f>C38+D38</f>
        <v>592.1</v>
      </c>
      <c r="F38" s="194"/>
      <c r="G38" s="193">
        <v>592.1</v>
      </c>
      <c r="H38" s="194">
        <f t="shared" si="16"/>
        <v>592.1</v>
      </c>
      <c r="I38" s="231">
        <f t="shared" si="4"/>
        <v>1</v>
      </c>
      <c r="J38" s="195">
        <f t="shared" si="6"/>
        <v>0</v>
      </c>
      <c r="K38" s="193"/>
      <c r="L38" s="234">
        <f t="shared" si="1"/>
        <v>0</v>
      </c>
      <c r="M38" s="193"/>
      <c r="N38" s="193"/>
      <c r="O38" s="234">
        <f t="shared" si="13"/>
        <v>0</v>
      </c>
      <c r="P38" s="193"/>
      <c r="Q38" s="203"/>
      <c r="R38" s="193"/>
      <c r="V38" s="150"/>
    </row>
    <row r="39" spans="1:22" ht="18" x14ac:dyDescent="0.25">
      <c r="A39" s="9" t="s">
        <v>77</v>
      </c>
      <c r="B39" s="54">
        <v>1160000000</v>
      </c>
      <c r="C39" s="179">
        <v>20</v>
      </c>
      <c r="D39" s="236">
        <v>59.223999999999997</v>
      </c>
      <c r="E39" s="237">
        <f>C39+D39</f>
        <v>79.22399999999999</v>
      </c>
      <c r="F39" s="186"/>
      <c r="G39" s="179">
        <v>69.2</v>
      </c>
      <c r="H39" s="186">
        <f t="shared" si="16"/>
        <v>69.2</v>
      </c>
      <c r="I39" s="228">
        <f t="shared" si="4"/>
        <v>0.87347268504493603</v>
      </c>
      <c r="J39" s="185">
        <f t="shared" si="6"/>
        <v>0</v>
      </c>
      <c r="K39" s="179">
        <v>38.200000000000003</v>
      </c>
      <c r="L39" s="65">
        <f t="shared" si="1"/>
        <v>1.8115183246073299</v>
      </c>
      <c r="M39" s="179"/>
      <c r="N39" s="179"/>
      <c r="O39" s="65">
        <f t="shared" si="13"/>
        <v>0</v>
      </c>
      <c r="P39" s="179"/>
      <c r="Q39" s="71"/>
      <c r="R39" s="179"/>
      <c r="V39" s="150"/>
    </row>
    <row r="40" spans="1:22" ht="18" x14ac:dyDescent="0.25">
      <c r="A40" s="9" t="s">
        <v>69</v>
      </c>
      <c r="B40" s="30">
        <v>1170000000</v>
      </c>
      <c r="C40" s="179">
        <f>SUM(C41:C42)</f>
        <v>0</v>
      </c>
      <c r="D40" s="179">
        <f>SUM(D41:D43)</f>
        <v>206.137</v>
      </c>
      <c r="E40" s="179">
        <f>SUM(E41:E43)</f>
        <v>996.06999999999994</v>
      </c>
      <c r="F40" s="179">
        <f>SUM(F41:F42)</f>
        <v>0</v>
      </c>
      <c r="G40" s="179">
        <f>SUM(G41:G43)</f>
        <v>995.80000000000007</v>
      </c>
      <c r="H40" s="179">
        <f>SUM(H41:H43)</f>
        <v>997.5</v>
      </c>
      <c r="I40" s="228">
        <f t="shared" si="4"/>
        <v>1.0014356420733483</v>
      </c>
      <c r="J40" s="185">
        <f t="shared" si="6"/>
        <v>0</v>
      </c>
      <c r="K40" s="179">
        <f>SUM(K41:K43)</f>
        <v>0.5</v>
      </c>
      <c r="L40" s="65">
        <f t="shared" si="1"/>
        <v>1995</v>
      </c>
      <c r="M40" s="179">
        <f>SUM(M41:M43)</f>
        <v>1.7</v>
      </c>
      <c r="N40" s="179">
        <f>SUM(N41:N43)</f>
        <v>0.3</v>
      </c>
      <c r="O40" s="235">
        <f>SUM(O41:O42)</f>
        <v>5.666666666666667</v>
      </c>
      <c r="P40" s="179">
        <f>SUM(P41:P42)</f>
        <v>0</v>
      </c>
      <c r="Q40" s="71">
        <f>SUM(Q41:Q42)</f>
        <v>0</v>
      </c>
      <c r="R40" s="179">
        <f>SUM(R41:R42)</f>
        <v>0</v>
      </c>
      <c r="V40" s="150"/>
    </row>
    <row r="41" spans="1:22" ht="18" x14ac:dyDescent="0.25">
      <c r="A41" s="13" t="s">
        <v>8</v>
      </c>
      <c r="B41" s="13">
        <v>1170103003</v>
      </c>
      <c r="C41" s="181"/>
      <c r="D41" s="181"/>
      <c r="E41" s="183">
        <f>C41+D41</f>
        <v>0</v>
      </c>
      <c r="F41" s="183"/>
      <c r="G41" s="181"/>
      <c r="H41" s="181">
        <f>G41+M41</f>
        <v>0</v>
      </c>
      <c r="I41" s="227">
        <f t="shared" si="4"/>
        <v>0</v>
      </c>
      <c r="J41" s="184">
        <f t="shared" si="6"/>
        <v>0</v>
      </c>
      <c r="K41" s="181">
        <v>-0.5</v>
      </c>
      <c r="L41" s="69">
        <f t="shared" si="1"/>
        <v>0</v>
      </c>
      <c r="M41" s="181"/>
      <c r="N41" s="181"/>
      <c r="O41" s="69">
        <f t="shared" ref="O41:O50" si="17">IF(N41&gt;0,M41/N41,0)</f>
        <v>0</v>
      </c>
      <c r="P41" s="182"/>
      <c r="Q41" s="76"/>
      <c r="R41" s="182"/>
      <c r="V41" s="150"/>
    </row>
    <row r="42" spans="1:22" ht="18" x14ac:dyDescent="0.25">
      <c r="A42" s="13" t="s">
        <v>33</v>
      </c>
      <c r="B42" s="13">
        <v>1170505013</v>
      </c>
      <c r="C42" s="181"/>
      <c r="D42" s="181">
        <v>5</v>
      </c>
      <c r="E42" s="183">
        <f>C42+D42</f>
        <v>5</v>
      </c>
      <c r="F42" s="183"/>
      <c r="G42" s="181">
        <v>4.7</v>
      </c>
      <c r="H42" s="183">
        <f>G42+M42</f>
        <v>6.4</v>
      </c>
      <c r="I42" s="227">
        <f>IF(E42&gt;0,H42/E42,0)</f>
        <v>1.28</v>
      </c>
      <c r="J42" s="184">
        <f>IF(F42&gt;0,H42/F42,0)</f>
        <v>0</v>
      </c>
      <c r="K42" s="181">
        <v>1</v>
      </c>
      <c r="L42" s="69">
        <f>IF(K42&gt;0,H42/K42,0)</f>
        <v>6.4</v>
      </c>
      <c r="M42" s="181">
        <v>1.7</v>
      </c>
      <c r="N42" s="181">
        <v>0.3</v>
      </c>
      <c r="O42" s="69">
        <f t="shared" si="17"/>
        <v>5.666666666666667</v>
      </c>
      <c r="P42" s="181"/>
      <c r="Q42" s="70"/>
      <c r="R42" s="181"/>
      <c r="V42" s="150"/>
    </row>
    <row r="43" spans="1:22" ht="18" x14ac:dyDescent="0.25">
      <c r="A43" s="45" t="s">
        <v>114</v>
      </c>
      <c r="B43" s="13">
        <v>1171503013</v>
      </c>
      <c r="C43" s="181">
        <v>789.93299999999999</v>
      </c>
      <c r="D43" s="181">
        <v>201.137</v>
      </c>
      <c r="E43" s="183">
        <f>C43+D43</f>
        <v>991.06999999999994</v>
      </c>
      <c r="F43" s="183"/>
      <c r="G43" s="181">
        <v>991.1</v>
      </c>
      <c r="H43" s="183">
        <f>G43+M43</f>
        <v>991.1</v>
      </c>
      <c r="I43" s="227">
        <f>IF(E43&gt;0,H43/E43,0)</f>
        <v>1.0000302703139032</v>
      </c>
      <c r="J43" s="184"/>
      <c r="K43" s="181"/>
      <c r="L43" s="69">
        <f>IF(K43&gt;0,H43/K43,0)</f>
        <v>0</v>
      </c>
      <c r="M43" s="181"/>
      <c r="N43" s="181"/>
      <c r="O43" s="69">
        <f t="shared" si="17"/>
        <v>0</v>
      </c>
      <c r="P43" s="181"/>
      <c r="Q43" s="70"/>
      <c r="R43" s="181"/>
      <c r="V43" s="150"/>
    </row>
    <row r="44" spans="1:22" ht="18" x14ac:dyDescent="0.25">
      <c r="A44" s="9" t="s">
        <v>6</v>
      </c>
      <c r="B44" s="9">
        <v>1000000000</v>
      </c>
      <c r="C44" s="198">
        <f t="shared" ref="C44:H44" si="18">C5+C25</f>
        <v>13863.9</v>
      </c>
      <c r="D44" s="198">
        <f t="shared" si="18"/>
        <v>849.06099999999992</v>
      </c>
      <c r="E44" s="238">
        <f t="shared" si="18"/>
        <v>15502.894</v>
      </c>
      <c r="F44" s="198">
        <f t="shared" si="18"/>
        <v>0</v>
      </c>
      <c r="G44" s="198">
        <f>G5+G25</f>
        <v>10628.199999999999</v>
      </c>
      <c r="H44" s="198">
        <f t="shared" si="18"/>
        <v>11970.4</v>
      </c>
      <c r="I44" s="232">
        <f t="shared" si="4"/>
        <v>0.77213970501249629</v>
      </c>
      <c r="J44" s="199">
        <f t="shared" si="6"/>
        <v>0</v>
      </c>
      <c r="K44" s="198">
        <f>K5+K25</f>
        <v>7994.7</v>
      </c>
      <c r="L44" s="79">
        <f t="shared" si="1"/>
        <v>1.4972919559207976</v>
      </c>
      <c r="M44" s="198">
        <f>M5+M25</f>
        <v>1342.2000000000003</v>
      </c>
      <c r="N44" s="198">
        <f>N5+N25</f>
        <v>1043.8000000000002</v>
      </c>
      <c r="O44" s="79">
        <f t="shared" si="17"/>
        <v>1.2858785207894232</v>
      </c>
      <c r="P44" s="198">
        <f>P5+P25</f>
        <v>1107.5999999999999</v>
      </c>
      <c r="Q44" s="205">
        <f>Q5+Q25</f>
        <v>629.6</v>
      </c>
      <c r="R44" s="198">
        <f>R5+R25</f>
        <v>791.30000000000007</v>
      </c>
      <c r="V44" s="150"/>
    </row>
    <row r="45" spans="1:22" ht="18" x14ac:dyDescent="0.25">
      <c r="A45" s="9" t="s">
        <v>92</v>
      </c>
      <c r="B45" s="9"/>
      <c r="C45" s="198">
        <f t="shared" ref="C45:H45" si="19">C44-C12</f>
        <v>12077.9</v>
      </c>
      <c r="D45" s="198">
        <f t="shared" si="19"/>
        <v>849.06099999999992</v>
      </c>
      <c r="E45" s="198">
        <f t="shared" si="19"/>
        <v>13716.894</v>
      </c>
      <c r="F45" s="198">
        <f t="shared" si="19"/>
        <v>0</v>
      </c>
      <c r="G45" s="198">
        <f>G44-G12</f>
        <v>9366.4</v>
      </c>
      <c r="H45" s="198">
        <f t="shared" si="19"/>
        <v>10693.199999999999</v>
      </c>
      <c r="I45" s="232">
        <f>IF(E45&gt;0,H45/E45,0)</f>
        <v>0.77956423662674645</v>
      </c>
      <c r="J45" s="199">
        <f>IF(F45&gt;0,H45/F45,0)</f>
        <v>0</v>
      </c>
      <c r="K45" s="198">
        <f>K44-K12</f>
        <v>6690</v>
      </c>
      <c r="L45" s="79">
        <f t="shared" si="1"/>
        <v>1.5983856502242151</v>
      </c>
      <c r="M45" s="198">
        <f>M44-M12</f>
        <v>1326.8000000000002</v>
      </c>
      <c r="N45" s="198">
        <f>N44-N12</f>
        <v>891.9000000000002</v>
      </c>
      <c r="O45" s="79">
        <f t="shared" si="17"/>
        <v>1.4876107186904359</v>
      </c>
      <c r="P45" s="198"/>
      <c r="Q45" s="205"/>
      <c r="R45" s="198"/>
      <c r="V45" s="150"/>
    </row>
    <row r="46" spans="1:22" ht="18" x14ac:dyDescent="0.25">
      <c r="A46" s="13" t="s">
        <v>36</v>
      </c>
      <c r="B46" s="13">
        <v>2000000000</v>
      </c>
      <c r="C46" s="181">
        <v>22274.7</v>
      </c>
      <c r="D46" s="181">
        <f>3949.664+2500+1900-111.3+250+509.4</f>
        <v>8997.764000000001</v>
      </c>
      <c r="E46" s="183">
        <f>C46+D46</f>
        <v>31272.464</v>
      </c>
      <c r="F46" s="183"/>
      <c r="G46" s="181">
        <v>19217.400000000001</v>
      </c>
      <c r="H46" s="181">
        <f>G46+M46</f>
        <v>30220</v>
      </c>
      <c r="I46" s="227">
        <f t="shared" si="4"/>
        <v>0.96634534458173815</v>
      </c>
      <c r="J46" s="184">
        <f t="shared" si="6"/>
        <v>0</v>
      </c>
      <c r="K46" s="181">
        <v>13994.5</v>
      </c>
      <c r="L46" s="69">
        <f t="shared" si="1"/>
        <v>2.1594197720533068</v>
      </c>
      <c r="M46" s="181">
        <v>11002.6</v>
      </c>
      <c r="N46" s="70">
        <v>12132.7</v>
      </c>
      <c r="O46" s="69">
        <f t="shared" si="17"/>
        <v>0.90685502814707364</v>
      </c>
      <c r="P46" s="181"/>
      <c r="Q46" s="70"/>
      <c r="R46" s="181"/>
      <c r="V46" s="150"/>
    </row>
    <row r="47" spans="1:22" ht="18" x14ac:dyDescent="0.25">
      <c r="A47" s="13" t="s">
        <v>46</v>
      </c>
      <c r="B47" s="34" t="s">
        <v>95</v>
      </c>
      <c r="C47" s="181"/>
      <c r="D47" s="181">
        <v>200</v>
      </c>
      <c r="E47" s="183">
        <f>C47+D47</f>
        <v>200</v>
      </c>
      <c r="F47" s="183"/>
      <c r="G47" s="181">
        <v>200</v>
      </c>
      <c r="H47" s="181">
        <f>G47+M47</f>
        <v>200</v>
      </c>
      <c r="I47" s="227">
        <f>IF(E47&gt;0,H47/E47,0)</f>
        <v>1</v>
      </c>
      <c r="J47" s="184">
        <f>IF(F47&gt;0,H47/F47,0)</f>
        <v>0</v>
      </c>
      <c r="K47" s="181"/>
      <c r="L47" s="69">
        <f t="shared" si="1"/>
        <v>0</v>
      </c>
      <c r="M47" s="181"/>
      <c r="N47" s="181"/>
      <c r="O47" s="69">
        <f t="shared" si="17"/>
        <v>0</v>
      </c>
      <c r="P47" s="181"/>
      <c r="Q47" s="70"/>
      <c r="R47" s="181"/>
      <c r="V47" s="150"/>
    </row>
    <row r="48" spans="1:22" ht="18" x14ac:dyDescent="0.25">
      <c r="A48" s="8" t="s">
        <v>108</v>
      </c>
      <c r="B48" s="144" t="s">
        <v>111</v>
      </c>
      <c r="C48" s="181"/>
      <c r="D48" s="181"/>
      <c r="E48" s="183">
        <f>C48+D48</f>
        <v>0</v>
      </c>
      <c r="F48" s="183"/>
      <c r="G48" s="181"/>
      <c r="H48" s="181">
        <f>G48+M48</f>
        <v>0</v>
      </c>
      <c r="I48" s="227">
        <f>IF(E48&gt;0,H48/E48,0)</f>
        <v>0</v>
      </c>
      <c r="J48" s="184"/>
      <c r="K48" s="181"/>
      <c r="L48" s="69"/>
      <c r="M48" s="181"/>
      <c r="N48" s="181"/>
      <c r="O48" s="69"/>
      <c r="P48" s="181"/>
      <c r="Q48" s="70"/>
      <c r="R48" s="181"/>
      <c r="V48" s="150"/>
    </row>
    <row r="49" spans="1:22" ht="24" customHeight="1" x14ac:dyDescent="0.25">
      <c r="A49" s="8" t="s">
        <v>93</v>
      </c>
      <c r="B49" s="46" t="s">
        <v>107</v>
      </c>
      <c r="C49" s="181"/>
      <c r="D49" s="181"/>
      <c r="E49" s="183">
        <f>C49+D49</f>
        <v>0</v>
      </c>
      <c r="F49" s="183"/>
      <c r="G49" s="181">
        <v>-0.1</v>
      </c>
      <c r="H49" s="181">
        <f>G49+M49</f>
        <v>-0.1</v>
      </c>
      <c r="I49" s="227"/>
      <c r="J49" s="184"/>
      <c r="K49" s="181"/>
      <c r="L49" s="69"/>
      <c r="M49" s="181"/>
      <c r="N49" s="181"/>
      <c r="O49" s="69"/>
      <c r="P49" s="181"/>
      <c r="Q49" s="70"/>
      <c r="R49" s="181"/>
      <c r="V49" s="150"/>
    </row>
    <row r="50" spans="1:22" ht="18" x14ac:dyDescent="0.25">
      <c r="A50" s="9" t="s">
        <v>2</v>
      </c>
      <c r="B50" s="9"/>
      <c r="C50" s="198">
        <f>C44+C46+C47</f>
        <v>36138.6</v>
      </c>
      <c r="D50" s="198">
        <f>D44+D46+D47+D49+D48</f>
        <v>10046.825000000001</v>
      </c>
      <c r="E50" s="238">
        <f>E44+E46+E47+E49+E48</f>
        <v>46975.358</v>
      </c>
      <c r="F50" s="198">
        <f>F44+F46+F47</f>
        <v>0</v>
      </c>
      <c r="G50" s="198">
        <f>G44+G46+G47+G49+G48</f>
        <v>30045.5</v>
      </c>
      <c r="H50" s="198">
        <f>H44+H46+H47+H49+H48</f>
        <v>42390.3</v>
      </c>
      <c r="I50" s="232">
        <f t="shared" si="4"/>
        <v>0.90239440005970795</v>
      </c>
      <c r="J50" s="199">
        <f t="shared" si="6"/>
        <v>0</v>
      </c>
      <c r="K50" s="198">
        <f>K44+K46+K47+K48+K49</f>
        <v>21989.200000000001</v>
      </c>
      <c r="L50" s="79">
        <f t="shared" si="1"/>
        <v>1.9277781820166264</v>
      </c>
      <c r="M50" s="198">
        <f>M44+M46+M47+M49+M48</f>
        <v>12344.800000000001</v>
      </c>
      <c r="N50" s="198">
        <f>N44+N46+N47+N49+N48</f>
        <v>13176.5</v>
      </c>
      <c r="O50" s="79">
        <f t="shared" si="17"/>
        <v>0.9368800516070277</v>
      </c>
      <c r="P50" s="198">
        <f>P44+P46+P47</f>
        <v>1107.5999999999999</v>
      </c>
      <c r="Q50" s="78">
        <f>Q44+Q46+Q47</f>
        <v>629.6</v>
      </c>
      <c r="R50" s="198">
        <f>R44+R46+R47</f>
        <v>791.30000000000007</v>
      </c>
      <c r="V50" s="150"/>
    </row>
  </sheetData>
  <mergeCells count="15">
    <mergeCell ref="A3:A4"/>
    <mergeCell ref="B3:B4"/>
    <mergeCell ref="C3:C4"/>
    <mergeCell ref="D3:D4"/>
    <mergeCell ref="C1:N1"/>
    <mergeCell ref="B2:R2"/>
    <mergeCell ref="G3:G4"/>
    <mergeCell ref="M3:M4"/>
    <mergeCell ref="E3:E4"/>
    <mergeCell ref="P3:R3"/>
    <mergeCell ref="K3:L3"/>
    <mergeCell ref="F3:F4"/>
    <mergeCell ref="H3:J3"/>
    <mergeCell ref="N3:N4"/>
    <mergeCell ref="O3:O4"/>
  </mergeCells>
  <phoneticPr fontId="0" type="noConversion"/>
  <pageMargins left="0.75" right="0.75" top="1" bottom="1" header="0.5" footer="0.5"/>
  <pageSetup paperSize="9" scale="47" fitToWidth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2"/>
  <sheetViews>
    <sheetView zoomScaleNormal="100" workbookViewId="0">
      <pane xSplit="2" ySplit="4" topLeftCell="E24" activePane="bottomRight" state="frozen"/>
      <selection pane="topRight" activeCell="D1" sqref="D1"/>
      <selection pane="bottomLeft" activeCell="A5" sqref="A5"/>
      <selection pane="bottomRight" activeCell="R21" sqref="R21"/>
    </sheetView>
  </sheetViews>
  <sheetFormatPr defaultRowHeight="12.75" x14ac:dyDescent="0.2"/>
  <cols>
    <col min="1" max="1" width="40.140625" customWidth="1"/>
    <col min="2" max="2" width="15.42578125" customWidth="1"/>
    <col min="3" max="3" width="14" customWidth="1"/>
    <col min="4" max="4" width="14.42578125" customWidth="1"/>
    <col min="5" max="5" width="14.85546875" customWidth="1"/>
    <col min="6" max="6" width="11" hidden="1" customWidth="1"/>
    <col min="7" max="7" width="11.85546875" customWidth="1"/>
    <col min="8" max="8" width="11.42578125" customWidth="1"/>
    <col min="9" max="9" width="12.42578125" customWidth="1"/>
    <col min="10" max="10" width="0.140625" hidden="1" customWidth="1"/>
    <col min="11" max="11" width="12.42578125" customWidth="1"/>
    <col min="12" max="12" width="15.5703125" customWidth="1"/>
    <col min="13" max="13" width="11.28515625" customWidth="1"/>
    <col min="14" max="14" width="11.140625" customWidth="1"/>
    <col min="15" max="15" width="14.28515625" customWidth="1"/>
    <col min="16" max="16" width="10.42578125" customWidth="1"/>
    <col min="17" max="17" width="10.7109375" customWidth="1"/>
    <col min="18" max="18" width="10.5703125" customWidth="1"/>
    <col min="19" max="19" width="10.28515625" bestFit="1" customWidth="1"/>
  </cols>
  <sheetData>
    <row r="1" spans="1:19" ht="15.75" x14ac:dyDescent="0.25">
      <c r="A1" s="26"/>
      <c r="B1" s="47"/>
      <c r="C1" s="247" t="s">
        <v>11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48"/>
      <c r="O1" s="48"/>
      <c r="P1" s="26"/>
      <c r="Q1" s="26"/>
      <c r="R1" s="26"/>
    </row>
    <row r="2" spans="1:19" ht="15.75" x14ac:dyDescent="0.25">
      <c r="A2" s="26"/>
      <c r="B2" s="248" t="s">
        <v>137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9" ht="18" customHeight="1" x14ac:dyDescent="0.2">
      <c r="A3" s="249" t="s">
        <v>3</v>
      </c>
      <c r="B3" s="241" t="s">
        <v>4</v>
      </c>
      <c r="C3" s="241" t="s">
        <v>124</v>
      </c>
      <c r="D3" s="241" t="s">
        <v>24</v>
      </c>
      <c r="E3" s="241" t="s">
        <v>125</v>
      </c>
      <c r="F3" s="241" t="s">
        <v>99</v>
      </c>
      <c r="G3" s="241" t="s">
        <v>128</v>
      </c>
      <c r="H3" s="241" t="s">
        <v>123</v>
      </c>
      <c r="I3" s="241"/>
      <c r="J3" s="241"/>
      <c r="K3" s="241" t="s">
        <v>117</v>
      </c>
      <c r="L3" s="241"/>
      <c r="M3" s="241" t="s">
        <v>131</v>
      </c>
      <c r="N3" s="241" t="s">
        <v>136</v>
      </c>
      <c r="O3" s="241" t="s">
        <v>30</v>
      </c>
      <c r="P3" s="241" t="s">
        <v>9</v>
      </c>
      <c r="Q3" s="241"/>
      <c r="R3" s="241"/>
    </row>
    <row r="4" spans="1:19" ht="98.25" customHeight="1" x14ac:dyDescent="0.2">
      <c r="A4" s="250"/>
      <c r="B4" s="251"/>
      <c r="C4" s="241"/>
      <c r="D4" s="241"/>
      <c r="E4" s="241"/>
      <c r="F4" s="241"/>
      <c r="G4" s="241"/>
      <c r="H4" s="213" t="s">
        <v>133</v>
      </c>
      <c r="I4" s="174" t="s">
        <v>10</v>
      </c>
      <c r="J4" s="174" t="s">
        <v>29</v>
      </c>
      <c r="K4" s="176" t="s">
        <v>133</v>
      </c>
      <c r="L4" s="174" t="s">
        <v>30</v>
      </c>
      <c r="M4" s="241"/>
      <c r="N4" s="241"/>
      <c r="O4" s="241"/>
      <c r="P4" s="121" t="s">
        <v>122</v>
      </c>
      <c r="Q4" s="121" t="s">
        <v>129</v>
      </c>
      <c r="R4" s="121" t="s">
        <v>134</v>
      </c>
    </row>
    <row r="5" spans="1:19" ht="21" customHeight="1" x14ac:dyDescent="0.25">
      <c r="A5" s="50" t="s">
        <v>21</v>
      </c>
      <c r="B5" s="51"/>
      <c r="C5" s="83">
        <f t="shared" ref="C5:H5" si="0">C6+C15+C17+C22+C23+C10</f>
        <v>1423.4</v>
      </c>
      <c r="D5" s="83">
        <f t="shared" si="0"/>
        <v>320</v>
      </c>
      <c r="E5" s="83">
        <f t="shared" si="0"/>
        <v>1743.3999999999999</v>
      </c>
      <c r="F5" s="83" t="e">
        <f t="shared" si="0"/>
        <v>#REF!</v>
      </c>
      <c r="G5" s="83">
        <f t="shared" si="0"/>
        <v>1025.9000000000001</v>
      </c>
      <c r="H5" s="83">
        <f t="shared" si="0"/>
        <v>1081.4000000000001</v>
      </c>
      <c r="I5" s="63">
        <f t="shared" ref="I5:I42" si="1">IF(E5&gt;0,H5/E5,0)</f>
        <v>0.62028220718136984</v>
      </c>
      <c r="J5" s="63" t="e">
        <f>IF(F5&gt;0,H5/F5,0)</f>
        <v>#REF!</v>
      </c>
      <c r="K5" s="83">
        <f>K6+K15+K17+K22+K23+K10</f>
        <v>760.1</v>
      </c>
      <c r="L5" s="63">
        <f>IF(K5&gt;0,H5/K5,0)</f>
        <v>1.4227075384817789</v>
      </c>
      <c r="M5" s="83">
        <f>M6+M15+M17+M22+M23+M10</f>
        <v>55.5</v>
      </c>
      <c r="N5" s="83">
        <f>N6+N15+N17+N22+N23+N10</f>
        <v>73.300000000000011</v>
      </c>
      <c r="O5" s="63">
        <f t="shared" ref="O5:O31" si="2">IF(N5&gt;0,M5/N5,0)</f>
        <v>0.75716234652114589</v>
      </c>
      <c r="P5" s="83">
        <f>P6+P15+P17+P22+P23+P10</f>
        <v>61.3</v>
      </c>
      <c r="Q5" s="83">
        <f>Q6+Q15+Q17+Q22+Q23+Q10</f>
        <v>58.3</v>
      </c>
      <c r="R5" s="83">
        <f>R6+R15+R17+R22+R23+R10</f>
        <v>57.599999999999994</v>
      </c>
    </row>
    <row r="6" spans="1:19" ht="16.5" customHeight="1" x14ac:dyDescent="0.25">
      <c r="A6" s="9" t="s">
        <v>63</v>
      </c>
      <c r="B6" s="52">
        <v>1010200001</v>
      </c>
      <c r="C6" s="84">
        <f>C7+C8+C9</f>
        <v>513.5</v>
      </c>
      <c r="D6" s="84">
        <f>D7+D8+D9</f>
        <v>0</v>
      </c>
      <c r="E6" s="84">
        <f>E7+E8+E9</f>
        <v>513.5</v>
      </c>
      <c r="F6" s="84" t="e">
        <f>F7+F8+F9+#REF!</f>
        <v>#REF!</v>
      </c>
      <c r="G6" s="84">
        <f>G7+G8+G9</f>
        <v>385.4</v>
      </c>
      <c r="H6" s="84">
        <f>H7+H8+H9</f>
        <v>428.09999999999997</v>
      </c>
      <c r="I6" s="65">
        <f t="shared" si="1"/>
        <v>0.83369036027263865</v>
      </c>
      <c r="J6" s="65" t="e">
        <f>IF(F6&gt;0,H6/F6,0)</f>
        <v>#REF!</v>
      </c>
      <c r="K6" s="84">
        <f>K7+K8+K9</f>
        <v>289.5</v>
      </c>
      <c r="L6" s="65">
        <f t="shared" ref="L6:L42" si="3">IF(K6&gt;0,H6/K6,0)</f>
        <v>1.4787564766839376</v>
      </c>
      <c r="M6" s="84">
        <f>M7+M8+M9</f>
        <v>42.7</v>
      </c>
      <c r="N6" s="84">
        <f>N7+N8+N9</f>
        <v>42.1</v>
      </c>
      <c r="O6" s="65">
        <f t="shared" si="2"/>
        <v>1.0142517814726841</v>
      </c>
      <c r="P6" s="84">
        <f>P7+P8+P9</f>
        <v>46.199999999999996</v>
      </c>
      <c r="Q6" s="84">
        <f>Q7+Q8+Q9</f>
        <v>45.4</v>
      </c>
      <c r="R6" s="84">
        <f>R7+R8+R9</f>
        <v>44.8</v>
      </c>
      <c r="S6" s="26"/>
    </row>
    <row r="7" spans="1:19" ht="18" x14ac:dyDescent="0.25">
      <c r="A7" s="10" t="s">
        <v>44</v>
      </c>
      <c r="B7" s="13">
        <v>1010201001</v>
      </c>
      <c r="C7" s="70">
        <v>513.5</v>
      </c>
      <c r="D7" s="67"/>
      <c r="E7" s="66">
        <f>C7+D7</f>
        <v>513.5</v>
      </c>
      <c r="F7" s="66"/>
      <c r="G7" s="67">
        <v>385.4</v>
      </c>
      <c r="H7" s="68">
        <f>G7+M7</f>
        <v>428.09999999999997</v>
      </c>
      <c r="I7" s="69">
        <f t="shared" si="1"/>
        <v>0.83369036027263865</v>
      </c>
      <c r="J7" s="69">
        <f t="shared" ref="J7:J42" si="4">IF(F7&gt;0,H7/F7,0)</f>
        <v>0</v>
      </c>
      <c r="K7" s="67">
        <v>289.5</v>
      </c>
      <c r="L7" s="69">
        <f t="shared" si="3"/>
        <v>1.4787564766839376</v>
      </c>
      <c r="M7" s="67">
        <v>42.7</v>
      </c>
      <c r="N7" s="67">
        <v>42.1</v>
      </c>
      <c r="O7" s="69">
        <f t="shared" si="2"/>
        <v>1.0142517814726841</v>
      </c>
      <c r="P7" s="70">
        <v>1.4</v>
      </c>
      <c r="Q7" s="70">
        <v>0.6</v>
      </c>
      <c r="R7" s="70"/>
      <c r="S7" s="152"/>
    </row>
    <row r="8" spans="1:19" ht="18" x14ac:dyDescent="0.25">
      <c r="A8" s="10" t="s">
        <v>43</v>
      </c>
      <c r="B8" s="13">
        <v>1010202001</v>
      </c>
      <c r="C8" s="70"/>
      <c r="D8" s="67"/>
      <c r="E8" s="66">
        <f>C8+D8</f>
        <v>0</v>
      </c>
      <c r="F8" s="66"/>
      <c r="G8" s="70"/>
      <c r="H8" s="68">
        <f>G8+M8</f>
        <v>0</v>
      </c>
      <c r="I8" s="69">
        <f t="shared" si="1"/>
        <v>0</v>
      </c>
      <c r="J8" s="69">
        <f t="shared" si="4"/>
        <v>0</v>
      </c>
      <c r="K8" s="70"/>
      <c r="L8" s="69">
        <f>IF(K8&gt;0,H8/K8,0)</f>
        <v>0</v>
      </c>
      <c r="M8" s="70"/>
      <c r="N8" s="70"/>
      <c r="O8" s="69">
        <f>IF(N8&gt;0,M8/N8,0)</f>
        <v>0</v>
      </c>
      <c r="P8" s="66"/>
      <c r="Q8" s="66"/>
      <c r="R8" s="66"/>
      <c r="S8" s="26"/>
    </row>
    <row r="9" spans="1:19" ht="21" customHeight="1" x14ac:dyDescent="0.25">
      <c r="A9" s="10" t="s">
        <v>42</v>
      </c>
      <c r="B9" s="13">
        <v>1010203001</v>
      </c>
      <c r="C9" s="70"/>
      <c r="D9" s="70"/>
      <c r="E9" s="66">
        <f>C9+D9</f>
        <v>0</v>
      </c>
      <c r="F9" s="66"/>
      <c r="G9" s="70"/>
      <c r="H9" s="68">
        <f>G9+M9</f>
        <v>0</v>
      </c>
      <c r="I9" s="69">
        <f t="shared" si="1"/>
        <v>0</v>
      </c>
      <c r="J9" s="69">
        <f t="shared" si="4"/>
        <v>0</v>
      </c>
      <c r="K9" s="70"/>
      <c r="L9" s="69">
        <f t="shared" si="3"/>
        <v>0</v>
      </c>
      <c r="M9" s="70"/>
      <c r="N9" s="70"/>
      <c r="O9" s="69">
        <f t="shared" si="2"/>
        <v>0</v>
      </c>
      <c r="P9" s="70">
        <v>44.8</v>
      </c>
      <c r="Q9" s="70">
        <v>44.8</v>
      </c>
      <c r="R9" s="70">
        <v>44.8</v>
      </c>
      <c r="S9" s="26"/>
    </row>
    <row r="10" spans="1:19" ht="30" customHeight="1" x14ac:dyDescent="0.25">
      <c r="A10" s="11" t="s">
        <v>48</v>
      </c>
      <c r="B10" s="19">
        <v>1030200001</v>
      </c>
      <c r="C10" s="71">
        <f t="shared" ref="C10:H10" si="5">SUM(C11:C14)</f>
        <v>745.90000000000009</v>
      </c>
      <c r="D10" s="71">
        <f t="shared" si="5"/>
        <v>320</v>
      </c>
      <c r="E10" s="71">
        <f t="shared" si="5"/>
        <v>1065.8999999999999</v>
      </c>
      <c r="F10" s="71"/>
      <c r="G10" s="71">
        <f>SUM(G11:G14)</f>
        <v>526.90000000000009</v>
      </c>
      <c r="H10" s="71">
        <f t="shared" si="5"/>
        <v>533.29999999999995</v>
      </c>
      <c r="I10" s="65">
        <f t="shared" si="1"/>
        <v>0.50032836100947553</v>
      </c>
      <c r="J10" s="65">
        <f>IF(F10&gt;0,H10/F10,0)</f>
        <v>0</v>
      </c>
      <c r="K10" s="71">
        <f>SUM(K11:K14)</f>
        <v>353.8</v>
      </c>
      <c r="L10" s="65">
        <f t="shared" si="3"/>
        <v>1.5073487846240812</v>
      </c>
      <c r="M10" s="71">
        <f>SUM(M11:M14)</f>
        <v>6.4</v>
      </c>
      <c r="N10" s="71">
        <f>SUM(N11:N14)</f>
        <v>41.2</v>
      </c>
      <c r="O10" s="65">
        <f t="shared" si="2"/>
        <v>0.1553398058252427</v>
      </c>
      <c r="P10" s="71">
        <f>SUM(P11:P14)</f>
        <v>0</v>
      </c>
      <c r="Q10" s="71">
        <f>SUM(Q11:Q14)</f>
        <v>0</v>
      </c>
      <c r="R10" s="71">
        <f>SUM(R11:R14)</f>
        <v>0</v>
      </c>
      <c r="S10" s="26"/>
    </row>
    <row r="11" spans="1:19" ht="22.5" customHeight="1" x14ac:dyDescent="0.25">
      <c r="A11" s="12" t="s">
        <v>49</v>
      </c>
      <c r="B11" s="12">
        <v>1030223101</v>
      </c>
      <c r="C11" s="70">
        <v>389</v>
      </c>
      <c r="D11" s="70">
        <v>120</v>
      </c>
      <c r="E11" s="66">
        <f>C11+D11</f>
        <v>509</v>
      </c>
      <c r="F11" s="66"/>
      <c r="G11" s="70">
        <v>270.8</v>
      </c>
      <c r="H11" s="68">
        <f>G11+M11</f>
        <v>276.7</v>
      </c>
      <c r="I11" s="69">
        <f t="shared" si="1"/>
        <v>0.54361493123772098</v>
      </c>
      <c r="J11" s="69">
        <f>IF(F11&gt;0,H11/F11,0)</f>
        <v>0</v>
      </c>
      <c r="K11" s="70">
        <v>181.2</v>
      </c>
      <c r="L11" s="69">
        <f t="shared" si="3"/>
        <v>1.5270419426048565</v>
      </c>
      <c r="M11" s="70">
        <v>5.9</v>
      </c>
      <c r="N11" s="70">
        <v>20.8</v>
      </c>
      <c r="O11" s="69">
        <f t="shared" si="2"/>
        <v>0.28365384615384615</v>
      </c>
      <c r="P11" s="70"/>
      <c r="Q11" s="70"/>
      <c r="R11" s="70"/>
      <c r="S11" s="26"/>
    </row>
    <row r="12" spans="1:19" ht="18.75" customHeight="1" x14ac:dyDescent="0.25">
      <c r="A12" s="12" t="s">
        <v>50</v>
      </c>
      <c r="B12" s="12">
        <v>1030224101</v>
      </c>
      <c r="C12" s="70">
        <v>1.9</v>
      </c>
      <c r="D12" s="70"/>
      <c r="E12" s="66">
        <f>C12+D12</f>
        <v>1.9</v>
      </c>
      <c r="F12" s="66"/>
      <c r="G12" s="70">
        <v>1.6</v>
      </c>
      <c r="H12" s="68">
        <f>G12+M12</f>
        <v>1.6</v>
      </c>
      <c r="I12" s="69">
        <f t="shared" si="1"/>
        <v>0.8421052631578948</v>
      </c>
      <c r="J12" s="69">
        <f>IF(F12&gt;0,H12/F12,0)</f>
        <v>0</v>
      </c>
      <c r="K12" s="70">
        <v>0.9</v>
      </c>
      <c r="L12" s="69">
        <f t="shared" si="3"/>
        <v>1.7777777777777779</v>
      </c>
      <c r="M12" s="70"/>
      <c r="N12" s="70">
        <v>0.2</v>
      </c>
      <c r="O12" s="69">
        <f t="shared" si="2"/>
        <v>0</v>
      </c>
      <c r="P12" s="70"/>
      <c r="Q12" s="70"/>
      <c r="R12" s="70"/>
      <c r="S12" s="26"/>
    </row>
    <row r="13" spans="1:19" ht="19.5" customHeight="1" x14ac:dyDescent="0.25">
      <c r="A13" s="12" t="s">
        <v>51</v>
      </c>
      <c r="B13" s="12">
        <v>1030225101</v>
      </c>
      <c r="C13" s="70">
        <v>403.3</v>
      </c>
      <c r="D13" s="70">
        <v>200</v>
      </c>
      <c r="E13" s="66">
        <f>C13+D13</f>
        <v>603.29999999999995</v>
      </c>
      <c r="F13" s="66"/>
      <c r="G13" s="70">
        <v>285.3</v>
      </c>
      <c r="H13" s="68">
        <f>G13+M13</f>
        <v>290.7</v>
      </c>
      <c r="I13" s="69">
        <f t="shared" si="1"/>
        <v>0.48184982595723524</v>
      </c>
      <c r="J13" s="69">
        <f>IF(F13&gt;0,H13/F13,0)</f>
        <v>0</v>
      </c>
      <c r="K13" s="70">
        <v>192.9</v>
      </c>
      <c r="L13" s="69">
        <f t="shared" si="3"/>
        <v>1.5069984447900466</v>
      </c>
      <c r="M13" s="70">
        <v>5.4</v>
      </c>
      <c r="N13" s="70">
        <v>22.7</v>
      </c>
      <c r="O13" s="69">
        <f t="shared" si="2"/>
        <v>0.2378854625550661</v>
      </c>
      <c r="P13" s="70"/>
      <c r="Q13" s="70"/>
      <c r="R13" s="70"/>
      <c r="S13" s="26"/>
    </row>
    <row r="14" spans="1:19" ht="18.75" customHeight="1" x14ac:dyDescent="0.25">
      <c r="A14" s="12" t="s">
        <v>52</v>
      </c>
      <c r="B14" s="12">
        <v>1030226101</v>
      </c>
      <c r="C14" s="70">
        <v>-48.3</v>
      </c>
      <c r="D14" s="70"/>
      <c r="E14" s="66">
        <f>C14+D14</f>
        <v>-48.3</v>
      </c>
      <c r="F14" s="66"/>
      <c r="G14" s="70">
        <v>-30.8</v>
      </c>
      <c r="H14" s="68">
        <f>G14+M14</f>
        <v>-35.700000000000003</v>
      </c>
      <c r="I14" s="69">
        <f>H14/E14</f>
        <v>0.73913043478260876</v>
      </c>
      <c r="J14" s="69">
        <f>IF(F14&gt;0,H14/F14,0)</f>
        <v>0</v>
      </c>
      <c r="K14" s="70">
        <v>-21.2</v>
      </c>
      <c r="L14" s="69">
        <f t="shared" si="3"/>
        <v>0</v>
      </c>
      <c r="M14" s="70">
        <v>-4.9000000000000004</v>
      </c>
      <c r="N14" s="70">
        <v>-2.5</v>
      </c>
      <c r="O14" s="69">
        <f t="shared" si="2"/>
        <v>0</v>
      </c>
      <c r="P14" s="70"/>
      <c r="Q14" s="70"/>
      <c r="R14" s="70"/>
      <c r="S14" s="26"/>
    </row>
    <row r="15" spans="1:19" ht="18" x14ac:dyDescent="0.25">
      <c r="A15" s="9" t="s">
        <v>70</v>
      </c>
      <c r="B15" s="30">
        <v>1050000000</v>
      </c>
      <c r="C15" s="71">
        <f t="shared" ref="C15:H15" si="6">C16</f>
        <v>5</v>
      </c>
      <c r="D15" s="126">
        <f t="shared" si="6"/>
        <v>0</v>
      </c>
      <c r="E15" s="126">
        <f t="shared" si="6"/>
        <v>5</v>
      </c>
      <c r="F15" s="72">
        <f t="shared" si="6"/>
        <v>0</v>
      </c>
      <c r="G15" s="71">
        <f>G16</f>
        <v>0</v>
      </c>
      <c r="H15" s="72">
        <f t="shared" si="6"/>
        <v>0</v>
      </c>
      <c r="I15" s="65">
        <f t="shared" si="1"/>
        <v>0</v>
      </c>
      <c r="J15" s="65">
        <f t="shared" si="4"/>
        <v>0</v>
      </c>
      <c r="K15" s="71">
        <f>K16</f>
        <v>-1.9</v>
      </c>
      <c r="L15" s="65">
        <f t="shared" si="3"/>
        <v>0</v>
      </c>
      <c r="M15" s="71">
        <f>M16</f>
        <v>0</v>
      </c>
      <c r="N15" s="71">
        <f>N16</f>
        <v>0</v>
      </c>
      <c r="O15" s="65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  <c r="S15" s="26"/>
    </row>
    <row r="16" spans="1:19" ht="18" x14ac:dyDescent="0.25">
      <c r="A16" s="13" t="s">
        <v>7</v>
      </c>
      <c r="B16" s="13">
        <v>1050300001</v>
      </c>
      <c r="C16" s="70">
        <v>5</v>
      </c>
      <c r="D16" s="82"/>
      <c r="E16" s="66">
        <f>C16+D16</f>
        <v>5</v>
      </c>
      <c r="F16" s="66">
        <f>1-1</f>
        <v>0</v>
      </c>
      <c r="G16" s="70"/>
      <c r="H16" s="68">
        <f>G16+M16</f>
        <v>0</v>
      </c>
      <c r="I16" s="69">
        <f t="shared" si="1"/>
        <v>0</v>
      </c>
      <c r="J16" s="69">
        <f t="shared" si="4"/>
        <v>0</v>
      </c>
      <c r="K16" s="70">
        <v>-1.9</v>
      </c>
      <c r="L16" s="69">
        <f t="shared" si="3"/>
        <v>0</v>
      </c>
      <c r="M16" s="70"/>
      <c r="N16" s="70"/>
      <c r="O16" s="69">
        <f t="shared" si="2"/>
        <v>0</v>
      </c>
      <c r="P16" s="70"/>
      <c r="Q16" s="70"/>
      <c r="R16" s="70"/>
      <c r="S16" s="26"/>
    </row>
    <row r="17" spans="1:20" ht="18" x14ac:dyDescent="0.25">
      <c r="A17" s="9" t="s">
        <v>71</v>
      </c>
      <c r="B17" s="30">
        <v>1060000000</v>
      </c>
      <c r="C17" s="71">
        <f t="shared" ref="C17:H17" si="7">C18+C21</f>
        <v>158</v>
      </c>
      <c r="D17" s="124">
        <f t="shared" si="7"/>
        <v>0</v>
      </c>
      <c r="E17" s="72">
        <f t="shared" si="7"/>
        <v>158</v>
      </c>
      <c r="F17" s="72">
        <f t="shared" si="7"/>
        <v>0</v>
      </c>
      <c r="G17" s="71">
        <f>G18+G21</f>
        <v>113.60000000000001</v>
      </c>
      <c r="H17" s="72">
        <f t="shared" si="7"/>
        <v>120.00000000000001</v>
      </c>
      <c r="I17" s="65">
        <f t="shared" si="1"/>
        <v>0.759493670886076</v>
      </c>
      <c r="J17" s="65">
        <f t="shared" si="4"/>
        <v>0</v>
      </c>
      <c r="K17" s="71">
        <f>K18+K21</f>
        <v>117.9</v>
      </c>
      <c r="L17" s="65">
        <f t="shared" si="3"/>
        <v>1.0178117048346056</v>
      </c>
      <c r="M17" s="71">
        <f>M18+M21</f>
        <v>6.4</v>
      </c>
      <c r="N17" s="71">
        <f>N18+N21</f>
        <v>-10.1</v>
      </c>
      <c r="O17" s="65">
        <f t="shared" si="2"/>
        <v>0</v>
      </c>
      <c r="P17" s="71">
        <f>P18+P21</f>
        <v>15.1</v>
      </c>
      <c r="Q17" s="71">
        <f>Q18+Q21</f>
        <v>12.9</v>
      </c>
      <c r="R17" s="71">
        <f>R18+R21</f>
        <v>12.799999999999999</v>
      </c>
      <c r="S17" s="26"/>
    </row>
    <row r="18" spans="1:20" ht="18" x14ac:dyDescent="0.25">
      <c r="A18" s="13" t="s">
        <v>13</v>
      </c>
      <c r="B18" s="13">
        <v>1060600000</v>
      </c>
      <c r="C18" s="73">
        <f t="shared" ref="C18:H18" si="8">C19+C20</f>
        <v>147</v>
      </c>
      <c r="D18" s="73">
        <f t="shared" si="8"/>
        <v>0</v>
      </c>
      <c r="E18" s="67">
        <f t="shared" si="8"/>
        <v>147</v>
      </c>
      <c r="F18" s="67">
        <f t="shared" si="8"/>
        <v>0</v>
      </c>
      <c r="G18" s="73">
        <f>G19+G20</f>
        <v>113.30000000000001</v>
      </c>
      <c r="H18" s="67">
        <f t="shared" si="8"/>
        <v>118.60000000000001</v>
      </c>
      <c r="I18" s="69">
        <f t="shared" si="1"/>
        <v>0.80680272108843543</v>
      </c>
      <c r="J18" s="69">
        <f t="shared" si="4"/>
        <v>0</v>
      </c>
      <c r="K18" s="73">
        <f>K19+K20</f>
        <v>117.10000000000001</v>
      </c>
      <c r="L18" s="69">
        <f t="shared" si="3"/>
        <v>1.0128095644748079</v>
      </c>
      <c r="M18" s="73">
        <f>M19+M20</f>
        <v>5.3</v>
      </c>
      <c r="N18" s="73">
        <f>N19+N20</f>
        <v>-10.5</v>
      </c>
      <c r="O18" s="69">
        <f t="shared" si="2"/>
        <v>0</v>
      </c>
      <c r="P18" s="70">
        <f>P19+P20</f>
        <v>13</v>
      </c>
      <c r="Q18" s="70">
        <f>Q19+Q20</f>
        <v>11.1</v>
      </c>
      <c r="R18" s="70">
        <f>R19+R20</f>
        <v>11.1</v>
      </c>
      <c r="S18" s="26"/>
    </row>
    <row r="19" spans="1:20" ht="18" x14ac:dyDescent="0.25">
      <c r="A19" s="13" t="s">
        <v>100</v>
      </c>
      <c r="B19" s="13">
        <v>1060603310</v>
      </c>
      <c r="C19" s="70">
        <v>110</v>
      </c>
      <c r="D19" s="67"/>
      <c r="E19" s="66">
        <f>C19+D19</f>
        <v>110</v>
      </c>
      <c r="F19" s="66"/>
      <c r="G19" s="70">
        <v>112.4</v>
      </c>
      <c r="H19" s="68">
        <f>G19+M19</f>
        <v>112.4</v>
      </c>
      <c r="I19" s="69">
        <f t="shared" si="1"/>
        <v>1.021818181818182</v>
      </c>
      <c r="J19" s="69">
        <f t="shared" si="4"/>
        <v>0</v>
      </c>
      <c r="K19" s="70">
        <v>115.4</v>
      </c>
      <c r="L19" s="69">
        <f t="shared" si="3"/>
        <v>0.97400346620450606</v>
      </c>
      <c r="M19" s="70"/>
      <c r="N19" s="70">
        <v>-12.2</v>
      </c>
      <c r="O19" s="69">
        <f t="shared" si="2"/>
        <v>0</v>
      </c>
      <c r="P19" s="70"/>
      <c r="Q19" s="70"/>
      <c r="R19" s="70"/>
      <c r="S19" s="26"/>
    </row>
    <row r="20" spans="1:20" ht="18" x14ac:dyDescent="0.25">
      <c r="A20" s="13" t="s">
        <v>101</v>
      </c>
      <c r="B20" s="13">
        <v>1060604310</v>
      </c>
      <c r="C20" s="70">
        <v>37</v>
      </c>
      <c r="D20" s="67"/>
      <c r="E20" s="66">
        <f>C20+D20</f>
        <v>37</v>
      </c>
      <c r="F20" s="66"/>
      <c r="G20" s="70">
        <v>0.9</v>
      </c>
      <c r="H20" s="68">
        <f>G20+M20</f>
        <v>6.2</v>
      </c>
      <c r="I20" s="69">
        <f t="shared" si="1"/>
        <v>0.16756756756756758</v>
      </c>
      <c r="J20" s="69">
        <f t="shared" si="4"/>
        <v>0</v>
      </c>
      <c r="K20" s="70">
        <v>1.7</v>
      </c>
      <c r="L20" s="69">
        <f t="shared" si="3"/>
        <v>3.6470588235294121</v>
      </c>
      <c r="M20" s="70">
        <v>5.3</v>
      </c>
      <c r="N20" s="70">
        <v>1.7</v>
      </c>
      <c r="O20" s="69">
        <f t="shared" si="2"/>
        <v>3.1176470588235294</v>
      </c>
      <c r="P20" s="70">
        <v>13</v>
      </c>
      <c r="Q20" s="70">
        <v>11.1</v>
      </c>
      <c r="R20" s="70">
        <v>11.1</v>
      </c>
      <c r="S20" s="153"/>
      <c r="T20" s="145"/>
    </row>
    <row r="21" spans="1:20" ht="18" x14ac:dyDescent="0.25">
      <c r="A21" s="13" t="s">
        <v>12</v>
      </c>
      <c r="B21" s="13">
        <v>1060103010</v>
      </c>
      <c r="C21" s="70">
        <v>11</v>
      </c>
      <c r="D21" s="67"/>
      <c r="E21" s="66">
        <f>C21+D21</f>
        <v>11</v>
      </c>
      <c r="F21" s="66"/>
      <c r="G21" s="70">
        <v>0.3</v>
      </c>
      <c r="H21" s="68">
        <f>G21+M21</f>
        <v>1.4000000000000001</v>
      </c>
      <c r="I21" s="69">
        <f t="shared" si="1"/>
        <v>0.12727272727272729</v>
      </c>
      <c r="J21" s="69">
        <f t="shared" si="4"/>
        <v>0</v>
      </c>
      <c r="K21" s="70">
        <v>0.8</v>
      </c>
      <c r="L21" s="69">
        <f t="shared" si="3"/>
        <v>1.75</v>
      </c>
      <c r="M21" s="70">
        <v>1.1000000000000001</v>
      </c>
      <c r="N21" s="70">
        <v>0.4</v>
      </c>
      <c r="O21" s="69">
        <f t="shared" si="2"/>
        <v>2.75</v>
      </c>
      <c r="P21" s="70">
        <v>2.1</v>
      </c>
      <c r="Q21" s="70">
        <v>1.8</v>
      </c>
      <c r="R21" s="70">
        <v>1.7</v>
      </c>
      <c r="S21" s="153"/>
      <c r="T21" s="145"/>
    </row>
    <row r="22" spans="1:20" ht="18" x14ac:dyDescent="0.25">
      <c r="A22" s="30" t="s">
        <v>72</v>
      </c>
      <c r="B22" s="30">
        <v>1080402001</v>
      </c>
      <c r="C22" s="71">
        <v>1</v>
      </c>
      <c r="D22" s="72"/>
      <c r="E22" s="64">
        <f>C22+D22</f>
        <v>1</v>
      </c>
      <c r="F22" s="64"/>
      <c r="G22" s="71"/>
      <c r="H22" s="74">
        <f>G22+M22</f>
        <v>0</v>
      </c>
      <c r="I22" s="65">
        <f t="shared" si="1"/>
        <v>0</v>
      </c>
      <c r="J22" s="65">
        <f t="shared" si="4"/>
        <v>0</v>
      </c>
      <c r="K22" s="71">
        <v>0.8</v>
      </c>
      <c r="L22" s="65">
        <f t="shared" si="3"/>
        <v>0</v>
      </c>
      <c r="M22" s="71"/>
      <c r="N22" s="71">
        <v>0.1</v>
      </c>
      <c r="O22" s="65">
        <f t="shared" si="2"/>
        <v>0</v>
      </c>
      <c r="P22" s="71"/>
      <c r="Q22" s="71"/>
      <c r="R22" s="71"/>
      <c r="S22" s="26"/>
    </row>
    <row r="23" spans="1:20" ht="2.25" hidden="1" customHeight="1" x14ac:dyDescent="0.25">
      <c r="A23" s="30" t="s">
        <v>73</v>
      </c>
      <c r="B23" s="30">
        <v>1090405010</v>
      </c>
      <c r="C23" s="71"/>
      <c r="D23" s="71"/>
      <c r="E23" s="64">
        <f>C23+D23</f>
        <v>0</v>
      </c>
      <c r="F23" s="64"/>
      <c r="G23" s="71"/>
      <c r="H23" s="74">
        <f>G23+M23</f>
        <v>0</v>
      </c>
      <c r="I23" s="65">
        <f t="shared" si="1"/>
        <v>0</v>
      </c>
      <c r="J23" s="65">
        <f t="shared" si="4"/>
        <v>0</v>
      </c>
      <c r="K23" s="71"/>
      <c r="L23" s="65">
        <f t="shared" si="3"/>
        <v>0</v>
      </c>
      <c r="M23" s="71"/>
      <c r="N23" s="71"/>
      <c r="O23" s="65">
        <f t="shared" si="2"/>
        <v>0</v>
      </c>
      <c r="P23" s="71"/>
      <c r="Q23" s="71"/>
      <c r="R23" s="71"/>
      <c r="S23" s="26"/>
    </row>
    <row r="24" spans="1:20" ht="18" x14ac:dyDescent="0.25">
      <c r="A24" s="14" t="s">
        <v>22</v>
      </c>
      <c r="B24" s="32"/>
      <c r="C24" s="85">
        <f t="shared" ref="C24:H24" si="9">C25+C28+C32+C29+C31+C30</f>
        <v>382</v>
      </c>
      <c r="D24" s="139">
        <f t="shared" si="9"/>
        <v>86.015000000000001</v>
      </c>
      <c r="E24" s="139">
        <f t="shared" si="9"/>
        <v>468.01499999999999</v>
      </c>
      <c r="F24" s="85">
        <f t="shared" si="9"/>
        <v>0</v>
      </c>
      <c r="G24" s="85">
        <f>G25+G28+G32+G29+G31+G30</f>
        <v>284.7</v>
      </c>
      <c r="H24" s="85">
        <f t="shared" si="9"/>
        <v>284.7</v>
      </c>
      <c r="I24" s="63">
        <f t="shared" si="1"/>
        <v>0.6083138360949969</v>
      </c>
      <c r="J24" s="63">
        <f t="shared" si="4"/>
        <v>0</v>
      </c>
      <c r="K24" s="85">
        <f>K25+K28+K32+K29+K31+K30</f>
        <v>687.5</v>
      </c>
      <c r="L24" s="63">
        <f t="shared" si="3"/>
        <v>0.41410909090909087</v>
      </c>
      <c r="M24" s="85">
        <f>M25+M28+M32+M29+M31+M30</f>
        <v>0</v>
      </c>
      <c r="N24" s="85">
        <f>N25+N28+N32+N29+N31+N30</f>
        <v>5.5</v>
      </c>
      <c r="O24" s="63">
        <f t="shared" si="2"/>
        <v>0</v>
      </c>
      <c r="P24" s="75">
        <f>P25+P28+P31</f>
        <v>0</v>
      </c>
      <c r="Q24" s="75">
        <f>Q25+Q28+Q31</f>
        <v>0</v>
      </c>
      <c r="R24" s="75">
        <f>R25+R28+R31</f>
        <v>0</v>
      </c>
      <c r="S24" s="26"/>
    </row>
    <row r="25" spans="1:20" ht="18" x14ac:dyDescent="0.25">
      <c r="A25" s="9" t="s">
        <v>74</v>
      </c>
      <c r="B25" s="30">
        <v>1110000000</v>
      </c>
      <c r="C25" s="71">
        <f t="shared" ref="C25:H25" si="10">C26+C27</f>
        <v>32</v>
      </c>
      <c r="D25" s="71">
        <f t="shared" si="10"/>
        <v>86.015000000000001</v>
      </c>
      <c r="E25" s="71">
        <f t="shared" si="10"/>
        <v>118.015</v>
      </c>
      <c r="F25" s="71">
        <f t="shared" si="10"/>
        <v>0</v>
      </c>
      <c r="G25" s="71">
        <f>G26+G27</f>
        <v>16.2</v>
      </c>
      <c r="H25" s="71">
        <f t="shared" si="10"/>
        <v>16.2</v>
      </c>
      <c r="I25" s="86">
        <f t="shared" si="1"/>
        <v>0.13727068592975469</v>
      </c>
      <c r="J25" s="86">
        <f t="shared" si="4"/>
        <v>0</v>
      </c>
      <c r="K25" s="71">
        <f>K26+K27</f>
        <v>20.2</v>
      </c>
      <c r="L25" s="86">
        <f t="shared" si="3"/>
        <v>0.80198019801980203</v>
      </c>
      <c r="M25" s="71">
        <f>M26+M27</f>
        <v>0</v>
      </c>
      <c r="N25" s="71">
        <f>N26+N27</f>
        <v>0.5</v>
      </c>
      <c r="O25" s="86">
        <f t="shared" si="2"/>
        <v>0</v>
      </c>
      <c r="P25" s="71">
        <f>P26+P27</f>
        <v>0</v>
      </c>
      <c r="Q25" s="71">
        <f>Q26+Q27</f>
        <v>0</v>
      </c>
      <c r="R25" s="71">
        <f>R26+R27</f>
        <v>0</v>
      </c>
      <c r="S25" s="26"/>
    </row>
    <row r="26" spans="1:20" ht="24" customHeight="1" x14ac:dyDescent="0.25">
      <c r="A26" s="28" t="s">
        <v>112</v>
      </c>
      <c r="B26" s="161">
        <v>1110507510</v>
      </c>
      <c r="C26" s="70">
        <v>12</v>
      </c>
      <c r="D26" s="67">
        <v>11</v>
      </c>
      <c r="E26" s="70">
        <f>C26+D26</f>
        <v>23</v>
      </c>
      <c r="F26" s="70"/>
      <c r="G26" s="70">
        <v>15.3</v>
      </c>
      <c r="H26" s="67">
        <f t="shared" ref="H26:H31" si="11">G26+M26</f>
        <v>15.3</v>
      </c>
      <c r="I26" s="76">
        <f t="shared" si="1"/>
        <v>0.66521739130434787</v>
      </c>
      <c r="J26" s="76">
        <f t="shared" si="4"/>
        <v>0</v>
      </c>
      <c r="K26" s="70">
        <v>6.1</v>
      </c>
      <c r="L26" s="76">
        <f t="shared" si="3"/>
        <v>2.5081967213114758</v>
      </c>
      <c r="M26" s="70"/>
      <c r="N26" s="70"/>
      <c r="O26" s="76">
        <f t="shared" si="2"/>
        <v>0</v>
      </c>
      <c r="P26" s="70"/>
      <c r="Q26" s="70"/>
      <c r="R26" s="70"/>
      <c r="S26" s="26"/>
    </row>
    <row r="27" spans="1:20" ht="18" x14ac:dyDescent="0.25">
      <c r="A27" s="33" t="s">
        <v>23</v>
      </c>
      <c r="B27" s="13">
        <v>1110904510</v>
      </c>
      <c r="C27" s="70">
        <v>20</v>
      </c>
      <c r="D27" s="82">
        <v>75.015000000000001</v>
      </c>
      <c r="E27" s="70">
        <f>C27+D27</f>
        <v>95.015000000000001</v>
      </c>
      <c r="F27" s="70"/>
      <c r="G27" s="70">
        <v>0.9</v>
      </c>
      <c r="H27" s="67">
        <f t="shared" si="11"/>
        <v>0.9</v>
      </c>
      <c r="I27" s="76">
        <f t="shared" si="1"/>
        <v>9.4721886017997154E-3</v>
      </c>
      <c r="J27" s="76">
        <f t="shared" si="4"/>
        <v>0</v>
      </c>
      <c r="K27" s="70">
        <v>14.1</v>
      </c>
      <c r="L27" s="76">
        <f t="shared" si="3"/>
        <v>6.3829787234042562E-2</v>
      </c>
      <c r="M27" s="70"/>
      <c r="N27" s="70">
        <v>0.5</v>
      </c>
      <c r="O27" s="76">
        <f t="shared" si="2"/>
        <v>0</v>
      </c>
      <c r="P27" s="70"/>
      <c r="Q27" s="70"/>
      <c r="R27" s="70"/>
      <c r="S27" s="26"/>
    </row>
    <row r="28" spans="1:20" ht="18" x14ac:dyDescent="0.25">
      <c r="A28" s="9" t="s">
        <v>38</v>
      </c>
      <c r="B28" s="30">
        <v>1130299510</v>
      </c>
      <c r="C28" s="71"/>
      <c r="D28" s="71"/>
      <c r="E28" s="71">
        <f>C28+D28</f>
        <v>0</v>
      </c>
      <c r="F28" s="71"/>
      <c r="G28" s="71"/>
      <c r="H28" s="72">
        <f t="shared" si="11"/>
        <v>0</v>
      </c>
      <c r="I28" s="86">
        <f t="shared" si="1"/>
        <v>0</v>
      </c>
      <c r="J28" s="86">
        <f t="shared" si="4"/>
        <v>0</v>
      </c>
      <c r="K28" s="71">
        <v>16.8</v>
      </c>
      <c r="L28" s="86">
        <f t="shared" si="3"/>
        <v>0</v>
      </c>
      <c r="M28" s="71"/>
      <c r="N28" s="71"/>
      <c r="O28" s="86">
        <f t="shared" si="2"/>
        <v>0</v>
      </c>
      <c r="P28" s="71"/>
      <c r="Q28" s="71"/>
      <c r="R28" s="71"/>
      <c r="S28" s="26"/>
    </row>
    <row r="29" spans="1:20" ht="18" x14ac:dyDescent="0.25">
      <c r="A29" s="9" t="s">
        <v>75</v>
      </c>
      <c r="B29" s="30">
        <v>1140205310</v>
      </c>
      <c r="C29" s="71"/>
      <c r="D29" s="71"/>
      <c r="E29" s="71">
        <f>C29+D29</f>
        <v>0</v>
      </c>
      <c r="F29" s="71"/>
      <c r="G29" s="71"/>
      <c r="H29" s="72">
        <f t="shared" si="11"/>
        <v>0</v>
      </c>
      <c r="I29" s="86">
        <f>IF(E29&gt;0,H29/E29,0)</f>
        <v>0</v>
      </c>
      <c r="J29" s="86">
        <f>IF(F29&gt;0,H29/F29,0)</f>
        <v>0</v>
      </c>
      <c r="K29" s="71"/>
      <c r="L29" s="86">
        <f t="shared" si="3"/>
        <v>0</v>
      </c>
      <c r="M29" s="71"/>
      <c r="N29" s="71"/>
      <c r="O29" s="86">
        <f t="shared" si="2"/>
        <v>0</v>
      </c>
      <c r="P29" s="71"/>
      <c r="Q29" s="71"/>
      <c r="R29" s="71"/>
      <c r="S29" s="26"/>
    </row>
    <row r="30" spans="1:20" ht="18" x14ac:dyDescent="0.25">
      <c r="A30" s="9" t="s">
        <v>76</v>
      </c>
      <c r="B30" s="30">
        <v>1140601410</v>
      </c>
      <c r="C30" s="71"/>
      <c r="D30" s="71"/>
      <c r="E30" s="71"/>
      <c r="F30" s="71"/>
      <c r="G30" s="71">
        <v>4.8</v>
      </c>
      <c r="H30" s="72">
        <f t="shared" si="11"/>
        <v>4.8</v>
      </c>
      <c r="I30" s="86">
        <f>IF(E30&gt;0,H30/E30,0)</f>
        <v>0</v>
      </c>
      <c r="J30" s="86">
        <f>IF(F30&gt;0,H30/F30,0)</f>
        <v>0</v>
      </c>
      <c r="K30" s="71"/>
      <c r="L30" s="86">
        <f t="shared" si="3"/>
        <v>0</v>
      </c>
      <c r="M30" s="71"/>
      <c r="N30" s="71"/>
      <c r="O30" s="86">
        <f t="shared" si="2"/>
        <v>0</v>
      </c>
      <c r="P30" s="71"/>
      <c r="Q30" s="71"/>
      <c r="R30" s="71"/>
      <c r="S30" s="26"/>
    </row>
    <row r="31" spans="1:20" ht="18" x14ac:dyDescent="0.25">
      <c r="A31" s="9" t="s">
        <v>77</v>
      </c>
      <c r="B31" s="30">
        <v>1169005010</v>
      </c>
      <c r="C31" s="71"/>
      <c r="D31" s="71"/>
      <c r="E31" s="72">
        <f>C31+D31</f>
        <v>0</v>
      </c>
      <c r="F31" s="72"/>
      <c r="G31" s="71"/>
      <c r="H31" s="72">
        <f t="shared" si="11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3"/>
        <v>0</v>
      </c>
      <c r="M31" s="71"/>
      <c r="N31" s="71"/>
      <c r="O31" s="86">
        <f t="shared" si="2"/>
        <v>0</v>
      </c>
      <c r="P31" s="71"/>
      <c r="Q31" s="71"/>
      <c r="R31" s="71"/>
      <c r="S31" s="26"/>
    </row>
    <row r="32" spans="1:20" ht="18" x14ac:dyDescent="0.25">
      <c r="A32" s="9" t="s">
        <v>69</v>
      </c>
      <c r="B32" s="30">
        <v>1170000000</v>
      </c>
      <c r="C32" s="71">
        <f>SUM(C33:C35)</f>
        <v>350</v>
      </c>
      <c r="D32" s="71">
        <f t="shared" ref="D32:E32" si="12">SUM(D33:D35)</f>
        <v>0</v>
      </c>
      <c r="E32" s="71">
        <f t="shared" si="12"/>
        <v>350</v>
      </c>
      <c r="F32" s="71">
        <f t="shared" ref="F32:R32" si="13">SUM(F33:F34)</f>
        <v>0</v>
      </c>
      <c r="G32" s="71">
        <f t="shared" ref="G32" si="14">SUM(G33:G35)</f>
        <v>263.7</v>
      </c>
      <c r="H32" s="71">
        <f t="shared" ref="H32" si="15">SUM(H33:H35)</f>
        <v>263.7</v>
      </c>
      <c r="I32" s="86">
        <f>IF(E32&gt;0,H32/E32,0)</f>
        <v>0.75342857142857145</v>
      </c>
      <c r="J32" s="86">
        <f>IF(F32&gt;0,H32/F32,0)</f>
        <v>0</v>
      </c>
      <c r="K32" s="71">
        <f t="shared" ref="K32" si="16">SUM(K33:K35)</f>
        <v>650.5</v>
      </c>
      <c r="L32" s="86">
        <f t="shared" si="3"/>
        <v>0.40538047655649501</v>
      </c>
      <c r="M32" s="71">
        <f t="shared" ref="M32:N32" si="17">SUM(M33:M35)</f>
        <v>0</v>
      </c>
      <c r="N32" s="71">
        <f t="shared" si="17"/>
        <v>5</v>
      </c>
      <c r="O32" s="71">
        <f t="shared" si="13"/>
        <v>0</v>
      </c>
      <c r="P32" s="71">
        <f t="shared" si="13"/>
        <v>0</v>
      </c>
      <c r="Q32" s="71">
        <f t="shared" si="13"/>
        <v>0</v>
      </c>
      <c r="R32" s="71">
        <f t="shared" si="13"/>
        <v>0</v>
      </c>
      <c r="S32" s="154"/>
      <c r="T32" s="145"/>
    </row>
    <row r="33" spans="1:19" ht="18" x14ac:dyDescent="0.25">
      <c r="A33" s="13" t="s">
        <v>8</v>
      </c>
      <c r="B33" s="13">
        <v>1170103003</v>
      </c>
      <c r="C33" s="70"/>
      <c r="D33" s="70"/>
      <c r="E33" s="70">
        <f>C33+D33</f>
        <v>0</v>
      </c>
      <c r="F33" s="70"/>
      <c r="G33" s="70"/>
      <c r="H33" s="67">
        <f>G33+M33</f>
        <v>0</v>
      </c>
      <c r="I33" s="76">
        <f t="shared" si="1"/>
        <v>0</v>
      </c>
      <c r="J33" s="76">
        <f t="shared" si="4"/>
        <v>0</v>
      </c>
      <c r="K33" s="70"/>
      <c r="L33" s="76">
        <f t="shared" si="3"/>
        <v>0</v>
      </c>
      <c r="M33" s="70"/>
      <c r="N33" s="70"/>
      <c r="O33" s="76">
        <f t="shared" ref="O33:O42" si="18">IF(N33&gt;0,M33/N33,0)</f>
        <v>0</v>
      </c>
      <c r="P33" s="76"/>
      <c r="Q33" s="76"/>
      <c r="R33" s="76"/>
      <c r="S33" s="26"/>
    </row>
    <row r="34" spans="1:19" ht="18" x14ac:dyDescent="0.25">
      <c r="A34" s="13" t="s">
        <v>33</v>
      </c>
      <c r="B34" s="13">
        <v>1170505010</v>
      </c>
      <c r="C34" s="70"/>
      <c r="D34" s="67"/>
      <c r="E34" s="70">
        <f>C34+D34</f>
        <v>0</v>
      </c>
      <c r="F34" s="70"/>
      <c r="G34" s="70"/>
      <c r="H34" s="67">
        <f>G34+M34</f>
        <v>0</v>
      </c>
      <c r="I34" s="76">
        <f>IF(E34&gt;0,H34/E34,0)</f>
        <v>0</v>
      </c>
      <c r="J34" s="76">
        <f>IF(F34&gt;0,H34/F34,0)</f>
        <v>0</v>
      </c>
      <c r="K34" s="70">
        <v>0.1</v>
      </c>
      <c r="L34" s="76">
        <f>IF(K34&gt;0,H34/K34,0)</f>
        <v>0</v>
      </c>
      <c r="M34" s="70"/>
      <c r="N34" s="70"/>
      <c r="O34" s="76">
        <f t="shared" si="18"/>
        <v>0</v>
      </c>
      <c r="P34" s="70"/>
      <c r="Q34" s="70"/>
      <c r="R34" s="70"/>
      <c r="S34" s="26"/>
    </row>
    <row r="35" spans="1:19" ht="18.75" x14ac:dyDescent="0.3">
      <c r="A35" s="165" t="s">
        <v>114</v>
      </c>
      <c r="B35" s="165">
        <v>1171503010</v>
      </c>
      <c r="C35" s="70">
        <v>350</v>
      </c>
      <c r="D35" s="67"/>
      <c r="E35" s="70">
        <f>C35+D35</f>
        <v>350</v>
      </c>
      <c r="F35" s="70"/>
      <c r="G35" s="70">
        <v>263.7</v>
      </c>
      <c r="H35" s="67">
        <f>G35+M35</f>
        <v>263.7</v>
      </c>
      <c r="I35" s="76">
        <f>IF(E35&gt;0,H35/E35,0)</f>
        <v>0.75342857142857145</v>
      </c>
      <c r="J35" s="69"/>
      <c r="K35" s="70">
        <v>650.4</v>
      </c>
      <c r="L35" s="76">
        <f>IF(K35&gt;0,H35/K35,0)</f>
        <v>0.40544280442804426</v>
      </c>
      <c r="M35" s="70"/>
      <c r="N35" s="70">
        <v>5</v>
      </c>
      <c r="O35" s="76">
        <f t="shared" si="18"/>
        <v>0</v>
      </c>
      <c r="P35" s="70"/>
      <c r="Q35" s="70"/>
      <c r="R35" s="70"/>
      <c r="S35" s="26"/>
    </row>
    <row r="36" spans="1:19" ht="18" x14ac:dyDescent="0.25">
      <c r="A36" s="9" t="s">
        <v>6</v>
      </c>
      <c r="B36" s="9">
        <v>1000000000</v>
      </c>
      <c r="C36" s="77">
        <f t="shared" ref="C36:H36" si="19">C5+C24</f>
        <v>1805.4</v>
      </c>
      <c r="D36" s="77">
        <f t="shared" si="19"/>
        <v>406.01499999999999</v>
      </c>
      <c r="E36" s="77">
        <f t="shared" si="19"/>
        <v>2211.415</v>
      </c>
      <c r="F36" s="78" t="e">
        <f t="shared" si="19"/>
        <v>#REF!</v>
      </c>
      <c r="G36" s="78">
        <f>G5+G24</f>
        <v>1310.6000000000001</v>
      </c>
      <c r="H36" s="78">
        <f t="shared" si="19"/>
        <v>1366.1000000000001</v>
      </c>
      <c r="I36" s="79">
        <f t="shared" si="1"/>
        <v>0.61774926913311168</v>
      </c>
      <c r="J36" s="79" t="e">
        <f t="shared" si="4"/>
        <v>#REF!</v>
      </c>
      <c r="K36" s="78">
        <f>K5+K24</f>
        <v>1447.6</v>
      </c>
      <c r="L36" s="79">
        <f t="shared" si="3"/>
        <v>0.94369991710417256</v>
      </c>
      <c r="M36" s="78">
        <f>M5+M24</f>
        <v>55.5</v>
      </c>
      <c r="N36" s="78">
        <f>N5+N24</f>
        <v>78.800000000000011</v>
      </c>
      <c r="O36" s="79">
        <f t="shared" si="18"/>
        <v>0.7043147208121826</v>
      </c>
      <c r="P36" s="78">
        <f>P5+P24</f>
        <v>61.3</v>
      </c>
      <c r="Q36" s="78">
        <f>Q5+Q24</f>
        <v>58.3</v>
      </c>
      <c r="R36" s="78">
        <f>R5+R24</f>
        <v>57.599999999999994</v>
      </c>
      <c r="S36" s="26"/>
    </row>
    <row r="37" spans="1:19" ht="18" x14ac:dyDescent="0.25">
      <c r="A37" s="9" t="s">
        <v>92</v>
      </c>
      <c r="B37" s="9"/>
      <c r="C37" s="78">
        <f t="shared" ref="C37:H37" si="20">C36-C10</f>
        <v>1059.5</v>
      </c>
      <c r="D37" s="77">
        <f t="shared" si="20"/>
        <v>86.014999999999986</v>
      </c>
      <c r="E37" s="77">
        <f t="shared" si="20"/>
        <v>1145.5150000000001</v>
      </c>
      <c r="F37" s="78" t="e">
        <f t="shared" si="20"/>
        <v>#REF!</v>
      </c>
      <c r="G37" s="78">
        <f>G36-G10</f>
        <v>783.7</v>
      </c>
      <c r="H37" s="78">
        <f t="shared" si="20"/>
        <v>832.80000000000018</v>
      </c>
      <c r="I37" s="79">
        <f>IF(E37&gt;0,H37/E37,0)</f>
        <v>0.72700924911502696</v>
      </c>
      <c r="J37" s="79" t="e">
        <f>IF(F37&gt;0,H37/F37,0)</f>
        <v>#REF!</v>
      </c>
      <c r="K37" s="78">
        <f>K36-K10</f>
        <v>1093.8</v>
      </c>
      <c r="L37" s="79">
        <f t="shared" si="3"/>
        <v>0.76138233680746048</v>
      </c>
      <c r="M37" s="78">
        <f>M36-M10</f>
        <v>49.1</v>
      </c>
      <c r="N37" s="78">
        <f>N36-N10</f>
        <v>37.600000000000009</v>
      </c>
      <c r="O37" s="79">
        <f t="shared" si="18"/>
        <v>1.3058510638297869</v>
      </c>
      <c r="P37" s="78"/>
      <c r="Q37" s="78"/>
      <c r="R37" s="78"/>
      <c r="S37" s="26"/>
    </row>
    <row r="38" spans="1:19" ht="18" x14ac:dyDescent="0.25">
      <c r="A38" s="13" t="s">
        <v>36</v>
      </c>
      <c r="B38" s="168">
        <v>2000000000</v>
      </c>
      <c r="C38" s="70">
        <v>4872.7</v>
      </c>
      <c r="D38" s="82">
        <f>2529.221</f>
        <v>2529.221</v>
      </c>
      <c r="E38" s="80">
        <f>C38+D38</f>
        <v>7401.9210000000003</v>
      </c>
      <c r="F38" s="66"/>
      <c r="G38" s="70">
        <v>5103.8999999999996</v>
      </c>
      <c r="H38" s="67">
        <f>G38+M38</f>
        <v>5383.2999999999993</v>
      </c>
      <c r="I38" s="69">
        <f t="shared" si="1"/>
        <v>0.72728417393268574</v>
      </c>
      <c r="J38" s="69">
        <f t="shared" si="4"/>
        <v>0</v>
      </c>
      <c r="K38" s="70">
        <v>9571.6</v>
      </c>
      <c r="L38" s="69">
        <f t="shared" si="3"/>
        <v>0.56242425508796845</v>
      </c>
      <c r="M38" s="70">
        <v>279.39999999999998</v>
      </c>
      <c r="N38" s="70">
        <v>3684.6</v>
      </c>
      <c r="O38" s="69">
        <f t="shared" si="18"/>
        <v>7.5829126635184277E-2</v>
      </c>
      <c r="P38" s="70"/>
      <c r="Q38" s="70"/>
      <c r="R38" s="70"/>
      <c r="S38" s="155"/>
    </row>
    <row r="39" spans="1:19" ht="18.75" x14ac:dyDescent="0.3">
      <c r="A39" s="8" t="s">
        <v>113</v>
      </c>
      <c r="B39" s="167" t="s">
        <v>119</v>
      </c>
      <c r="C39" s="70"/>
      <c r="D39" s="82"/>
      <c r="E39" s="66">
        <f>C39+D39</f>
        <v>0</v>
      </c>
      <c r="F39" s="66"/>
      <c r="G39" s="70"/>
      <c r="H39" s="67">
        <f>G39+M39</f>
        <v>0</v>
      </c>
      <c r="I39" s="69">
        <f>IF(E39&gt;0,H39/E39,0)</f>
        <v>0</v>
      </c>
      <c r="J39" s="69">
        <f>IF(F39&gt;0,H39/F39,0)</f>
        <v>0</v>
      </c>
      <c r="K39" s="70">
        <v>13.9</v>
      </c>
      <c r="L39" s="69">
        <f t="shared" si="3"/>
        <v>0</v>
      </c>
      <c r="M39" s="70"/>
      <c r="N39" s="70"/>
      <c r="O39" s="69">
        <f t="shared" si="18"/>
        <v>0</v>
      </c>
      <c r="P39" s="70"/>
      <c r="Q39" s="70"/>
      <c r="R39" s="70"/>
      <c r="S39" s="26"/>
    </row>
    <row r="40" spans="1:19" ht="18" x14ac:dyDescent="0.25">
      <c r="A40" s="13" t="s">
        <v>46</v>
      </c>
      <c r="B40" s="169" t="s">
        <v>120</v>
      </c>
      <c r="C40" s="70"/>
      <c r="D40" s="82"/>
      <c r="E40" s="66">
        <f>C40+D40</f>
        <v>0</v>
      </c>
      <c r="F40" s="66"/>
      <c r="G40" s="70">
        <v>1</v>
      </c>
      <c r="H40" s="67">
        <f>G40+M40</f>
        <v>1</v>
      </c>
      <c r="I40" s="69">
        <f>IF(E40&gt;0,H40/E40,0)</f>
        <v>0</v>
      </c>
      <c r="J40" s="69"/>
      <c r="K40" s="70">
        <v>51</v>
      </c>
      <c r="L40" s="69">
        <f t="shared" si="3"/>
        <v>1.9607843137254902E-2</v>
      </c>
      <c r="M40" s="70"/>
      <c r="N40" s="70"/>
      <c r="O40" s="69">
        <f t="shared" si="18"/>
        <v>0</v>
      </c>
      <c r="P40" s="70"/>
      <c r="Q40" s="70"/>
      <c r="R40" s="70"/>
      <c r="S40" s="26"/>
    </row>
    <row r="41" spans="1:19" ht="18" x14ac:dyDescent="0.25">
      <c r="A41" s="8" t="s">
        <v>116</v>
      </c>
      <c r="B41" s="214" t="s">
        <v>126</v>
      </c>
      <c r="C41" s="70"/>
      <c r="D41" s="82"/>
      <c r="E41" s="66"/>
      <c r="F41" s="66"/>
      <c r="G41" s="70"/>
      <c r="H41" s="67">
        <f>G41+M41</f>
        <v>0</v>
      </c>
      <c r="I41" s="69">
        <f>IF(E41&gt;0,H41/E41,0)</f>
        <v>0</v>
      </c>
      <c r="J41" s="69"/>
      <c r="K41" s="70"/>
      <c r="L41" s="69"/>
      <c r="M41" s="70"/>
      <c r="N41" s="70"/>
      <c r="O41" s="69"/>
      <c r="P41" s="70"/>
      <c r="Q41" s="70"/>
      <c r="R41" s="70"/>
      <c r="S41" s="26"/>
    </row>
    <row r="42" spans="1:19" ht="18" x14ac:dyDescent="0.25">
      <c r="A42" s="9" t="s">
        <v>2</v>
      </c>
      <c r="B42" s="9">
        <v>0</v>
      </c>
      <c r="C42" s="77">
        <f>C36+C38+C39+C40</f>
        <v>6678.1</v>
      </c>
      <c r="D42" s="77">
        <f>D36+D38+D39+D40</f>
        <v>2935.2359999999999</v>
      </c>
      <c r="E42" s="77">
        <f t="shared" ref="E42:F42" si="21">E36+E38+E39+E40</f>
        <v>9613.3359999999993</v>
      </c>
      <c r="F42" s="77" t="e">
        <f t="shared" si="21"/>
        <v>#REF!</v>
      </c>
      <c r="G42" s="78">
        <f>G36+G38+G39+G40+G41</f>
        <v>6415.5</v>
      </c>
      <c r="H42" s="78">
        <f>H36+H38+H39+H40+H41</f>
        <v>6750.4</v>
      </c>
      <c r="I42" s="79">
        <f t="shared" si="1"/>
        <v>0.70219120604959606</v>
      </c>
      <c r="J42" s="79" t="e">
        <f t="shared" si="4"/>
        <v>#REF!</v>
      </c>
      <c r="K42" s="78">
        <f>K36+K38+K39+K40</f>
        <v>11084.1</v>
      </c>
      <c r="L42" s="79">
        <f t="shared" si="3"/>
        <v>0.6090165191580732</v>
      </c>
      <c r="M42" s="78">
        <f>M36+M38+M39+M40+M41</f>
        <v>334.9</v>
      </c>
      <c r="N42" s="78">
        <f t="shared" ref="N42" si="22">N36+N38+N39+N40</f>
        <v>3763.4</v>
      </c>
      <c r="O42" s="79">
        <f t="shared" si="18"/>
        <v>8.8988680448530574E-2</v>
      </c>
      <c r="P42" s="78">
        <f>P36+P38</f>
        <v>61.3</v>
      </c>
      <c r="Q42" s="78">
        <f>Q36+Q38</f>
        <v>58.3</v>
      </c>
      <c r="R42" s="78">
        <f>R36+R38</f>
        <v>57.599999999999994</v>
      </c>
      <c r="S42" s="26"/>
    </row>
  </sheetData>
  <mergeCells count="15">
    <mergeCell ref="A3:A4"/>
    <mergeCell ref="B3:B4"/>
    <mergeCell ref="C3:C4"/>
    <mergeCell ref="E3:E4"/>
    <mergeCell ref="D3:D4"/>
    <mergeCell ref="C1:M1"/>
    <mergeCell ref="B2:R2"/>
    <mergeCell ref="G3:G4"/>
    <mergeCell ref="K3:L3"/>
    <mergeCell ref="H3:J3"/>
    <mergeCell ref="P3:R3"/>
    <mergeCell ref="N3:N4"/>
    <mergeCell ref="F3:F4"/>
    <mergeCell ref="O3:O4"/>
    <mergeCell ref="M3:M4"/>
  </mergeCells>
  <phoneticPr fontId="0" type="noConversion"/>
  <pageMargins left="0.75" right="0.75" top="1" bottom="1" header="0.5" footer="0.5"/>
  <pageSetup paperSize="9" scale="5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R17" sqref="R17"/>
    </sheetView>
  </sheetViews>
  <sheetFormatPr defaultRowHeight="12.75" x14ac:dyDescent="0.2"/>
  <cols>
    <col min="1" max="1" width="40" customWidth="1"/>
    <col min="2" max="2" width="14.5703125" customWidth="1"/>
    <col min="3" max="3" width="13.28515625" customWidth="1"/>
    <col min="4" max="4" width="14" customWidth="1"/>
    <col min="5" max="5" width="14.5703125" customWidth="1"/>
    <col min="6" max="6" width="10.7109375" hidden="1" customWidth="1"/>
    <col min="7" max="7" width="12.140625" customWidth="1"/>
    <col min="8" max="8" width="13.28515625" customWidth="1"/>
    <col min="9" max="9" width="12.28515625" customWidth="1"/>
    <col min="10" max="10" width="0.140625" customWidth="1"/>
    <col min="11" max="11" width="11.140625" customWidth="1"/>
    <col min="12" max="12" width="15.5703125" customWidth="1"/>
    <col min="13" max="14" width="11.7109375" customWidth="1"/>
    <col min="15" max="15" width="13.85546875" customWidth="1"/>
    <col min="16" max="16" width="10.5703125" customWidth="1"/>
    <col min="17" max="17" width="10.28515625" customWidth="1"/>
    <col min="18" max="18" width="10.140625" customWidth="1"/>
  </cols>
  <sheetData>
    <row r="1" spans="1:18" ht="15.75" x14ac:dyDescent="0.25">
      <c r="A1" s="26"/>
      <c r="B1" s="47"/>
      <c r="C1" s="247" t="s">
        <v>11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48"/>
      <c r="O1" s="48"/>
      <c r="P1" s="26"/>
      <c r="Q1" s="26"/>
      <c r="R1" s="26"/>
    </row>
    <row r="2" spans="1:18" ht="15.75" x14ac:dyDescent="0.25">
      <c r="A2" s="26"/>
      <c r="B2" s="252" t="s">
        <v>138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8" ht="13.5" customHeight="1" x14ac:dyDescent="0.2">
      <c r="A3" s="241" t="s">
        <v>3</v>
      </c>
      <c r="B3" s="241" t="s">
        <v>4</v>
      </c>
      <c r="C3" s="241" t="s">
        <v>124</v>
      </c>
      <c r="D3" s="241" t="s">
        <v>24</v>
      </c>
      <c r="E3" s="241" t="s">
        <v>125</v>
      </c>
      <c r="F3" s="241" t="s">
        <v>99</v>
      </c>
      <c r="G3" s="241" t="s">
        <v>128</v>
      </c>
      <c r="H3" s="241" t="s">
        <v>123</v>
      </c>
      <c r="I3" s="241"/>
      <c r="J3" s="241"/>
      <c r="K3" s="241" t="s">
        <v>117</v>
      </c>
      <c r="L3" s="241"/>
      <c r="M3" s="241" t="s">
        <v>131</v>
      </c>
      <c r="N3" s="241" t="s">
        <v>136</v>
      </c>
      <c r="O3" s="241" t="s">
        <v>30</v>
      </c>
      <c r="P3" s="241" t="s">
        <v>9</v>
      </c>
      <c r="Q3" s="241"/>
      <c r="R3" s="241"/>
    </row>
    <row r="4" spans="1:18" ht="93.75" customHeight="1" x14ac:dyDescent="0.2">
      <c r="A4" s="251"/>
      <c r="B4" s="251"/>
      <c r="C4" s="241"/>
      <c r="D4" s="241"/>
      <c r="E4" s="241"/>
      <c r="F4" s="241"/>
      <c r="G4" s="241"/>
      <c r="H4" s="213" t="s">
        <v>133</v>
      </c>
      <c r="I4" s="174" t="s">
        <v>10</v>
      </c>
      <c r="J4" s="174" t="s">
        <v>29</v>
      </c>
      <c r="K4" s="176" t="s">
        <v>133</v>
      </c>
      <c r="L4" s="174" t="s">
        <v>30</v>
      </c>
      <c r="M4" s="241"/>
      <c r="N4" s="241"/>
      <c r="O4" s="241"/>
      <c r="P4" s="121" t="s">
        <v>122</v>
      </c>
      <c r="Q4" s="121" t="s">
        <v>129</v>
      </c>
      <c r="R4" s="121" t="s">
        <v>134</v>
      </c>
    </row>
    <row r="5" spans="1:18" ht="19.5" customHeight="1" x14ac:dyDescent="0.25">
      <c r="A5" s="29" t="s">
        <v>21</v>
      </c>
      <c r="B5" s="29"/>
      <c r="C5" s="88">
        <f t="shared" ref="C5:H5" si="0">C6+C15+C17+C22+C23+C10</f>
        <v>1740.4</v>
      </c>
      <c r="D5" s="88">
        <f t="shared" si="0"/>
        <v>0</v>
      </c>
      <c r="E5" s="135">
        <f t="shared" si="0"/>
        <v>1740.4</v>
      </c>
      <c r="F5" s="88" t="e">
        <f t="shared" si="0"/>
        <v>#REF!</v>
      </c>
      <c r="G5" s="88">
        <f t="shared" si="0"/>
        <v>1322.6</v>
      </c>
      <c r="H5" s="88">
        <f t="shared" si="0"/>
        <v>1413.6</v>
      </c>
      <c r="I5" s="89">
        <f t="shared" ref="I5:I42" si="1">IF(E5&gt;0,H5/E5,0)</f>
        <v>0.81222707423580776</v>
      </c>
      <c r="J5" s="89" t="e">
        <f>IF(F5&gt;0,H5/F5,0)</f>
        <v>#REF!</v>
      </c>
      <c r="K5" s="88">
        <f>K6+K15+K17+K22+K23+K10</f>
        <v>1227.8000000000002</v>
      </c>
      <c r="L5" s="89">
        <f>IF(K5&gt;0,H5/K5,0)</f>
        <v>1.1513275777813974</v>
      </c>
      <c r="M5" s="88">
        <f>M6+M15+M17+M22+M23+M10</f>
        <v>91</v>
      </c>
      <c r="N5" s="88">
        <f>N6+N15+N17+N22+N23+N10</f>
        <v>124</v>
      </c>
      <c r="O5" s="89">
        <f t="shared" ref="O5:O33" si="2">IF(N5&gt;0,M5/N5,0)</f>
        <v>0.7338709677419355</v>
      </c>
      <c r="P5" s="88">
        <f>P6+P15+P17+P22+P23+P10</f>
        <v>37.300000000000004</v>
      </c>
      <c r="Q5" s="88">
        <f>Q6+Q15+Q17+Q22+Q23+Q10</f>
        <v>34.9</v>
      </c>
      <c r="R5" s="88">
        <f>R6+R15+R17+R22+R23+R10</f>
        <v>24.5</v>
      </c>
    </row>
    <row r="6" spans="1:18" ht="18" x14ac:dyDescent="0.25">
      <c r="A6" s="9" t="s">
        <v>63</v>
      </c>
      <c r="B6" s="30">
        <v>1010200001</v>
      </c>
      <c r="C6" s="71">
        <f>C7+C8+C9</f>
        <v>719.7</v>
      </c>
      <c r="D6" s="71">
        <f>D7+D8+D9</f>
        <v>0</v>
      </c>
      <c r="E6" s="71">
        <f>E7+E8+E9</f>
        <v>719.7</v>
      </c>
      <c r="F6" s="71" t="e">
        <f>F7+F8+F9+#REF!</f>
        <v>#REF!</v>
      </c>
      <c r="G6" s="71">
        <f>G7+G8+G9</f>
        <v>603.6</v>
      </c>
      <c r="H6" s="71">
        <f>H7+H8+H9</f>
        <v>668.80000000000007</v>
      </c>
      <c r="I6" s="86">
        <f t="shared" si="1"/>
        <v>0.92927608725858002</v>
      </c>
      <c r="J6" s="86" t="e">
        <f>IF(F6&gt;0,H6/F6,0)</f>
        <v>#REF!</v>
      </c>
      <c r="K6" s="71">
        <f>K7+K8+K9</f>
        <v>560.4</v>
      </c>
      <c r="L6" s="86">
        <f t="shared" ref="L6:L42" si="3">IF(K6&gt;0,H6/K6,0)</f>
        <v>1.1934332619557462</v>
      </c>
      <c r="M6" s="71">
        <f>M7+M8+M9</f>
        <v>65.2</v>
      </c>
      <c r="N6" s="71">
        <f>N7+N8+N9</f>
        <v>45.7</v>
      </c>
      <c r="O6" s="86">
        <f t="shared" si="2"/>
        <v>1.4266958424507659</v>
      </c>
      <c r="P6" s="71">
        <f>P7+P8+P9</f>
        <v>2.1</v>
      </c>
      <c r="Q6" s="71">
        <f>Q7+Q8+Q9</f>
        <v>13.9</v>
      </c>
      <c r="R6" s="71">
        <f>R7+R8+R9</f>
        <v>9</v>
      </c>
    </row>
    <row r="7" spans="1:18" ht="18" customHeight="1" x14ac:dyDescent="0.25">
      <c r="A7" s="10" t="s">
        <v>44</v>
      </c>
      <c r="B7" s="13">
        <v>1010201001</v>
      </c>
      <c r="C7" s="70">
        <v>719.7</v>
      </c>
      <c r="D7" s="67"/>
      <c r="E7" s="70">
        <f>C7+D7</f>
        <v>719.7</v>
      </c>
      <c r="F7" s="70"/>
      <c r="G7" s="67">
        <v>599.20000000000005</v>
      </c>
      <c r="H7" s="67">
        <f>G7+M7</f>
        <v>661.90000000000009</v>
      </c>
      <c r="I7" s="76">
        <f t="shared" si="1"/>
        <v>0.91968875920522442</v>
      </c>
      <c r="J7" s="76">
        <f t="shared" ref="J7:J42" si="4">IF(F7&gt;0,H7/F7,0)</f>
        <v>0</v>
      </c>
      <c r="K7" s="67">
        <v>547.5</v>
      </c>
      <c r="L7" s="76">
        <f t="shared" si="3"/>
        <v>1.2089497716894979</v>
      </c>
      <c r="M7" s="67">
        <v>62.7</v>
      </c>
      <c r="N7" s="67">
        <v>32.4</v>
      </c>
      <c r="O7" s="76">
        <f t="shared" si="2"/>
        <v>1.9351851851851853</v>
      </c>
      <c r="P7" s="70">
        <v>1.9</v>
      </c>
      <c r="Q7" s="70">
        <v>11.4</v>
      </c>
      <c r="R7" s="70">
        <v>9</v>
      </c>
    </row>
    <row r="8" spans="1:18" ht="17.25" customHeight="1" x14ac:dyDescent="0.25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4"/>
        <v>0</v>
      </c>
      <c r="K8" s="70"/>
      <c r="L8" s="76">
        <f>IF(K8&gt;0,H8/K8,0)</f>
        <v>0</v>
      </c>
      <c r="M8" s="70"/>
      <c r="N8" s="70"/>
      <c r="O8" s="76">
        <f>IF(N8&gt;0,M8/N8,0)</f>
        <v>0</v>
      </c>
      <c r="P8" s="70"/>
      <c r="Q8" s="70"/>
      <c r="R8" s="70"/>
    </row>
    <row r="9" spans="1:18" ht="17.25" customHeight="1" x14ac:dyDescent="0.25">
      <c r="A9" s="10" t="s">
        <v>42</v>
      </c>
      <c r="B9" s="13">
        <v>1010203001</v>
      </c>
      <c r="C9" s="70"/>
      <c r="D9" s="70"/>
      <c r="E9" s="70">
        <f>C9+D9</f>
        <v>0</v>
      </c>
      <c r="F9" s="70"/>
      <c r="G9" s="70">
        <v>4.4000000000000004</v>
      </c>
      <c r="H9" s="67">
        <f>G9+M9</f>
        <v>6.9</v>
      </c>
      <c r="I9" s="76">
        <f t="shared" si="1"/>
        <v>0</v>
      </c>
      <c r="J9" s="76">
        <f t="shared" si="4"/>
        <v>0</v>
      </c>
      <c r="K9" s="70">
        <v>12.9</v>
      </c>
      <c r="L9" s="76">
        <f t="shared" si="3"/>
        <v>0.53488372093023262</v>
      </c>
      <c r="M9" s="70">
        <v>2.5</v>
      </c>
      <c r="N9" s="70">
        <v>13.3</v>
      </c>
      <c r="O9" s="76">
        <f t="shared" si="2"/>
        <v>0.18796992481203006</v>
      </c>
      <c r="P9" s="70">
        <v>0.2</v>
      </c>
      <c r="Q9" s="70">
        <v>2.5</v>
      </c>
      <c r="R9" s="70"/>
    </row>
    <row r="10" spans="1:18" ht="18" customHeight="1" x14ac:dyDescent="0.25">
      <c r="A10" s="11" t="s">
        <v>48</v>
      </c>
      <c r="B10" s="19">
        <v>1030200001</v>
      </c>
      <c r="C10" s="71">
        <f t="shared" ref="C10" si="5">SUM(C11:C14)</f>
        <v>872.69999999999993</v>
      </c>
      <c r="D10" s="71">
        <f t="shared" ref="D10:H10" si="6">SUM(D11:D14)</f>
        <v>0</v>
      </c>
      <c r="E10" s="71">
        <f t="shared" si="6"/>
        <v>872.69999999999993</v>
      </c>
      <c r="F10" s="71"/>
      <c r="G10" s="71">
        <f>SUM(G11:G14)</f>
        <v>616.69999999999993</v>
      </c>
      <c r="H10" s="71">
        <f t="shared" si="6"/>
        <v>624.09999999999991</v>
      </c>
      <c r="I10" s="65">
        <f t="shared" si="1"/>
        <v>0.71513693136243839</v>
      </c>
      <c r="J10" s="65">
        <f>IF(F10&gt;0,H10/F10,0)</f>
        <v>0</v>
      </c>
      <c r="K10" s="71">
        <f>SUM(K11:K14)</f>
        <v>637.6</v>
      </c>
      <c r="L10" s="65">
        <f t="shared" si="3"/>
        <v>0.97882685069008768</v>
      </c>
      <c r="M10" s="71">
        <f>SUM(M11:M14)</f>
        <v>7.3999999999999995</v>
      </c>
      <c r="N10" s="71">
        <f>SUM(N11:N14)</f>
        <v>74.199999999999989</v>
      </c>
      <c r="O10" s="65">
        <f t="shared" si="2"/>
        <v>9.9730458221024262E-2</v>
      </c>
      <c r="P10" s="71">
        <f>SUM(P11:P14)</f>
        <v>0</v>
      </c>
      <c r="Q10" s="71">
        <f>SUM(Q11:Q14)</f>
        <v>0</v>
      </c>
      <c r="R10" s="71">
        <f>SUM(R11:R14)</f>
        <v>0</v>
      </c>
    </row>
    <row r="11" spans="1:18" ht="19.5" customHeight="1" x14ac:dyDescent="0.25">
      <c r="A11" s="12" t="s">
        <v>49</v>
      </c>
      <c r="B11" s="12">
        <v>1030223101</v>
      </c>
      <c r="C11" s="70">
        <v>455.2</v>
      </c>
      <c r="D11" s="70"/>
      <c r="E11" s="66">
        <f>C11+D11</f>
        <v>455.2</v>
      </c>
      <c r="F11" s="66"/>
      <c r="G11" s="70">
        <v>316.89999999999998</v>
      </c>
      <c r="H11" s="68">
        <f>G11+M11</f>
        <v>323.79999999999995</v>
      </c>
      <c r="I11" s="69">
        <f t="shared" si="1"/>
        <v>0.711335676625659</v>
      </c>
      <c r="J11" s="69"/>
      <c r="K11" s="70">
        <v>326.7</v>
      </c>
      <c r="L11" s="69">
        <f t="shared" si="3"/>
        <v>0.99112335475971824</v>
      </c>
      <c r="M11" s="70">
        <v>6.9</v>
      </c>
      <c r="N11" s="70">
        <v>37.5</v>
      </c>
      <c r="O11" s="69">
        <f t="shared" si="2"/>
        <v>0.184</v>
      </c>
      <c r="P11" s="70"/>
      <c r="Q11" s="70"/>
      <c r="R11" s="70"/>
    </row>
    <row r="12" spans="1:18" ht="17.25" customHeight="1" x14ac:dyDescent="0.25">
      <c r="A12" s="12" t="s">
        <v>50</v>
      </c>
      <c r="B12" s="12">
        <v>1030224101</v>
      </c>
      <c r="C12" s="70">
        <v>2.2000000000000002</v>
      </c>
      <c r="D12" s="70"/>
      <c r="E12" s="66">
        <f>C12+D12</f>
        <v>2.2000000000000002</v>
      </c>
      <c r="F12" s="66"/>
      <c r="G12" s="70">
        <v>1.9</v>
      </c>
      <c r="H12" s="68">
        <f>G12+M12</f>
        <v>1.9</v>
      </c>
      <c r="I12" s="69">
        <f t="shared" si="1"/>
        <v>0.86363636363636354</v>
      </c>
      <c r="J12" s="69"/>
      <c r="K12" s="70">
        <v>1.7</v>
      </c>
      <c r="L12" s="69">
        <f t="shared" si="3"/>
        <v>1.1176470588235294</v>
      </c>
      <c r="M12" s="70"/>
      <c r="N12" s="70">
        <v>0.2</v>
      </c>
      <c r="O12" s="69">
        <f t="shared" si="2"/>
        <v>0</v>
      </c>
      <c r="P12" s="70"/>
      <c r="Q12" s="70"/>
      <c r="R12" s="70"/>
    </row>
    <row r="13" spans="1:18" ht="18" customHeight="1" x14ac:dyDescent="0.25">
      <c r="A13" s="12" t="s">
        <v>90</v>
      </c>
      <c r="B13" s="12">
        <v>1030225101</v>
      </c>
      <c r="C13" s="70">
        <v>471.9</v>
      </c>
      <c r="D13" s="70"/>
      <c r="E13" s="66">
        <f>C13+D13</f>
        <v>471.9</v>
      </c>
      <c r="F13" s="66"/>
      <c r="G13" s="70">
        <v>333.8</v>
      </c>
      <c r="H13" s="68">
        <f>G13+M13</f>
        <v>340.1</v>
      </c>
      <c r="I13" s="69">
        <f t="shared" si="1"/>
        <v>0.7207035388853571</v>
      </c>
      <c r="J13" s="69"/>
      <c r="K13" s="70">
        <v>347.5</v>
      </c>
      <c r="L13" s="69">
        <f t="shared" si="3"/>
        <v>0.97870503597122305</v>
      </c>
      <c r="M13" s="70">
        <v>6.3</v>
      </c>
      <c r="N13" s="70">
        <v>40.9</v>
      </c>
      <c r="O13" s="69">
        <f t="shared" si="2"/>
        <v>0.15403422982885084</v>
      </c>
      <c r="P13" s="70"/>
      <c r="Q13" s="70"/>
      <c r="R13" s="70"/>
    </row>
    <row r="14" spans="1:18" ht="17.25" customHeight="1" x14ac:dyDescent="0.25">
      <c r="A14" s="12" t="s">
        <v>52</v>
      </c>
      <c r="B14" s="12">
        <v>1030226101</v>
      </c>
      <c r="C14" s="70">
        <v>-56.6</v>
      </c>
      <c r="D14" s="70"/>
      <c r="E14" s="66">
        <f>C14+D14</f>
        <v>-56.6</v>
      </c>
      <c r="F14" s="66"/>
      <c r="G14" s="70">
        <v>-35.9</v>
      </c>
      <c r="H14" s="68">
        <f>G14+M14</f>
        <v>-41.699999999999996</v>
      </c>
      <c r="I14" s="69">
        <f>H14/E14</f>
        <v>0.73674911660777376</v>
      </c>
      <c r="J14" s="69"/>
      <c r="K14" s="70">
        <v>-38.299999999999997</v>
      </c>
      <c r="L14" s="69">
        <f t="shared" si="3"/>
        <v>0</v>
      </c>
      <c r="M14" s="70">
        <v>-5.8</v>
      </c>
      <c r="N14" s="70">
        <v>-4.4000000000000004</v>
      </c>
      <c r="O14" s="69">
        <f t="shared" si="2"/>
        <v>0</v>
      </c>
      <c r="P14" s="70"/>
      <c r="Q14" s="70"/>
      <c r="R14" s="70"/>
    </row>
    <row r="15" spans="1:18" ht="18" x14ac:dyDescent="0.25">
      <c r="A15" s="9" t="s">
        <v>70</v>
      </c>
      <c r="B15" s="30">
        <v>1050000000</v>
      </c>
      <c r="C15" s="71">
        <f t="shared" ref="C15" si="7">C16</f>
        <v>0</v>
      </c>
      <c r="D15" s="72">
        <f t="shared" ref="D15:H15" si="8">D16</f>
        <v>0</v>
      </c>
      <c r="E15" s="72">
        <f t="shared" si="8"/>
        <v>0</v>
      </c>
      <c r="F15" s="72">
        <f t="shared" si="8"/>
        <v>0</v>
      </c>
      <c r="G15" s="71">
        <f>G16</f>
        <v>0</v>
      </c>
      <c r="H15" s="72">
        <f t="shared" si="8"/>
        <v>0</v>
      </c>
      <c r="I15" s="86">
        <f t="shared" si="1"/>
        <v>0</v>
      </c>
      <c r="J15" s="86">
        <f t="shared" si="4"/>
        <v>0</v>
      </c>
      <c r="K15" s="71">
        <f>K16</f>
        <v>0</v>
      </c>
      <c r="L15" s="86">
        <f t="shared" si="3"/>
        <v>0</v>
      </c>
      <c r="M15" s="71">
        <f>M16</f>
        <v>0</v>
      </c>
      <c r="N15" s="71">
        <f>N16</f>
        <v>0</v>
      </c>
      <c r="O15" s="86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</row>
    <row r="16" spans="1:18" ht="18" x14ac:dyDescent="0.25">
      <c r="A16" s="13" t="s">
        <v>7</v>
      </c>
      <c r="B16" s="13">
        <v>1050300001</v>
      </c>
      <c r="C16" s="70"/>
      <c r="D16" s="67"/>
      <c r="E16" s="70">
        <f>C16+D16</f>
        <v>0</v>
      </c>
      <c r="F16" s="70"/>
      <c r="G16" s="70"/>
      <c r="H16" s="67">
        <f>G16+M16</f>
        <v>0</v>
      </c>
      <c r="I16" s="76">
        <f t="shared" si="1"/>
        <v>0</v>
      </c>
      <c r="J16" s="76">
        <f t="shared" si="4"/>
        <v>0</v>
      </c>
      <c r="K16" s="70"/>
      <c r="L16" s="76">
        <f t="shared" si="3"/>
        <v>0</v>
      </c>
      <c r="M16" s="70"/>
      <c r="N16" s="70"/>
      <c r="O16" s="76">
        <f t="shared" si="2"/>
        <v>0</v>
      </c>
      <c r="P16" s="70"/>
      <c r="Q16" s="70"/>
      <c r="R16" s="70"/>
    </row>
    <row r="17" spans="1:20" ht="18" x14ac:dyDescent="0.25">
      <c r="A17" s="9" t="s">
        <v>71</v>
      </c>
      <c r="B17" s="30">
        <v>1060000000</v>
      </c>
      <c r="C17" s="71">
        <f t="shared" ref="C17" si="9">C18+C21</f>
        <v>145</v>
      </c>
      <c r="D17" s="72">
        <f t="shared" ref="D17:H17" si="10">D18+D21</f>
        <v>0</v>
      </c>
      <c r="E17" s="72">
        <f t="shared" si="10"/>
        <v>145</v>
      </c>
      <c r="F17" s="72">
        <f t="shared" si="10"/>
        <v>0</v>
      </c>
      <c r="G17" s="71">
        <f>G18+G21</f>
        <v>99.5</v>
      </c>
      <c r="H17" s="72">
        <f t="shared" si="10"/>
        <v>117.9</v>
      </c>
      <c r="I17" s="86">
        <f t="shared" si="1"/>
        <v>0.81310344827586212</v>
      </c>
      <c r="J17" s="86">
        <f t="shared" si="4"/>
        <v>0</v>
      </c>
      <c r="K17" s="71">
        <f>K18+K21</f>
        <v>26.700000000000003</v>
      </c>
      <c r="L17" s="86">
        <f t="shared" si="3"/>
        <v>4.4157303370786511</v>
      </c>
      <c r="M17" s="71">
        <f>M18+M21</f>
        <v>18.399999999999999</v>
      </c>
      <c r="N17" s="71">
        <f>N18+N21</f>
        <v>3.5999999999999996</v>
      </c>
      <c r="O17" s="86">
        <f t="shared" si="2"/>
        <v>5.1111111111111116</v>
      </c>
      <c r="P17" s="71">
        <f>P18+P21</f>
        <v>35.200000000000003</v>
      </c>
      <c r="Q17" s="71">
        <f>Q18+Q21</f>
        <v>21</v>
      </c>
      <c r="R17" s="71">
        <f>R18+R21</f>
        <v>15.5</v>
      </c>
    </row>
    <row r="18" spans="1:20" ht="18" x14ac:dyDescent="0.25">
      <c r="A18" s="13" t="s">
        <v>13</v>
      </c>
      <c r="B18" s="13">
        <v>1060600000</v>
      </c>
      <c r="C18" s="70">
        <f t="shared" ref="C18" si="11">C19+C20</f>
        <v>110</v>
      </c>
      <c r="D18" s="67">
        <f t="shared" ref="D18:H18" si="12">D19+D20</f>
        <v>0</v>
      </c>
      <c r="E18" s="67">
        <f t="shared" si="12"/>
        <v>110</v>
      </c>
      <c r="F18" s="67">
        <f t="shared" si="12"/>
        <v>0</v>
      </c>
      <c r="G18" s="70">
        <f>G19+G20</f>
        <v>98.3</v>
      </c>
      <c r="H18" s="67">
        <f t="shared" si="12"/>
        <v>112.2</v>
      </c>
      <c r="I18" s="76">
        <f t="shared" si="1"/>
        <v>1.02</v>
      </c>
      <c r="J18" s="76">
        <f t="shared" si="4"/>
        <v>0</v>
      </c>
      <c r="K18" s="70">
        <f>K19+K20</f>
        <v>23.900000000000002</v>
      </c>
      <c r="L18" s="76">
        <f t="shared" si="3"/>
        <v>4.6945606694560666</v>
      </c>
      <c r="M18" s="70">
        <f>M19+M20</f>
        <v>13.899999999999999</v>
      </c>
      <c r="N18" s="70">
        <f>N19+N20</f>
        <v>1.3</v>
      </c>
      <c r="O18" s="76">
        <f t="shared" si="2"/>
        <v>10.692307692307692</v>
      </c>
      <c r="P18" s="70">
        <f>P19+P20</f>
        <v>30</v>
      </c>
      <c r="Q18" s="70">
        <f>Q19+Q20</f>
        <v>17.399999999999999</v>
      </c>
      <c r="R18" s="70">
        <f>R19+R20</f>
        <v>12</v>
      </c>
    </row>
    <row r="19" spans="1:20" ht="18" x14ac:dyDescent="0.25">
      <c r="A19" s="13" t="s">
        <v>100</v>
      </c>
      <c r="B19" s="13">
        <v>1060603310</v>
      </c>
      <c r="C19" s="70">
        <v>76</v>
      </c>
      <c r="D19" s="67"/>
      <c r="E19" s="70">
        <f>C19+D19</f>
        <v>76</v>
      </c>
      <c r="F19" s="70"/>
      <c r="G19" s="70">
        <v>94.5</v>
      </c>
      <c r="H19" s="67">
        <f>G19+M19</f>
        <v>103.7</v>
      </c>
      <c r="I19" s="76">
        <f t="shared" si="1"/>
        <v>1.3644736842105263</v>
      </c>
      <c r="J19" s="76">
        <f t="shared" si="4"/>
        <v>0</v>
      </c>
      <c r="K19" s="70">
        <v>20.3</v>
      </c>
      <c r="L19" s="76">
        <f t="shared" si="3"/>
        <v>5.1083743842364528</v>
      </c>
      <c r="M19" s="70">
        <v>9.1999999999999993</v>
      </c>
      <c r="N19" s="70">
        <v>0.3</v>
      </c>
      <c r="O19" s="76">
        <f t="shared" si="2"/>
        <v>30.666666666666664</v>
      </c>
      <c r="P19" s="70">
        <v>13.4</v>
      </c>
      <c r="Q19" s="70">
        <v>4.8</v>
      </c>
      <c r="R19" s="70">
        <v>0.2</v>
      </c>
    </row>
    <row r="20" spans="1:20" ht="18" x14ac:dyDescent="0.25">
      <c r="A20" s="13" t="s">
        <v>101</v>
      </c>
      <c r="B20" s="13">
        <v>1060604310</v>
      </c>
      <c r="C20" s="70">
        <v>34</v>
      </c>
      <c r="D20" s="67"/>
      <c r="E20" s="70">
        <f>C20+D20</f>
        <v>34</v>
      </c>
      <c r="F20" s="70"/>
      <c r="G20" s="70">
        <v>3.8</v>
      </c>
      <c r="H20" s="67">
        <f>G20+M20</f>
        <v>8.5</v>
      </c>
      <c r="I20" s="76">
        <f t="shared" si="1"/>
        <v>0.25</v>
      </c>
      <c r="J20" s="76">
        <f t="shared" si="4"/>
        <v>0</v>
      </c>
      <c r="K20" s="70">
        <v>3.6</v>
      </c>
      <c r="L20" s="76">
        <f t="shared" si="3"/>
        <v>2.3611111111111112</v>
      </c>
      <c r="M20" s="70">
        <v>4.7</v>
      </c>
      <c r="N20" s="70">
        <v>1</v>
      </c>
      <c r="O20" s="76">
        <f t="shared" si="2"/>
        <v>4.7</v>
      </c>
      <c r="P20" s="70">
        <v>16.600000000000001</v>
      </c>
      <c r="Q20" s="70">
        <v>12.6</v>
      </c>
      <c r="R20" s="70">
        <v>11.8</v>
      </c>
    </row>
    <row r="21" spans="1:20" ht="18" x14ac:dyDescent="0.25">
      <c r="A21" s="13" t="s">
        <v>12</v>
      </c>
      <c r="B21" s="13">
        <v>1060103010</v>
      </c>
      <c r="C21" s="70">
        <v>35</v>
      </c>
      <c r="D21" s="67"/>
      <c r="E21" s="70">
        <f>C21+D21</f>
        <v>35</v>
      </c>
      <c r="F21" s="70"/>
      <c r="G21" s="70">
        <v>1.2</v>
      </c>
      <c r="H21" s="67">
        <f>G21+M21</f>
        <v>5.7</v>
      </c>
      <c r="I21" s="76">
        <f t="shared" si="1"/>
        <v>0.16285714285714287</v>
      </c>
      <c r="J21" s="76">
        <f t="shared" si="4"/>
        <v>0</v>
      </c>
      <c r="K21" s="70">
        <v>2.8</v>
      </c>
      <c r="L21" s="76">
        <f t="shared" si="3"/>
        <v>2.035714285714286</v>
      </c>
      <c r="M21" s="70">
        <v>4.5</v>
      </c>
      <c r="N21" s="70">
        <v>2.2999999999999998</v>
      </c>
      <c r="O21" s="76">
        <f t="shared" si="2"/>
        <v>1.956521739130435</v>
      </c>
      <c r="P21" s="70">
        <v>5.2</v>
      </c>
      <c r="Q21" s="70">
        <v>3.6</v>
      </c>
      <c r="R21" s="70">
        <v>3.5</v>
      </c>
      <c r="S21" s="127"/>
      <c r="T21" s="145"/>
    </row>
    <row r="22" spans="1:20" ht="18" x14ac:dyDescent="0.25">
      <c r="A22" s="9" t="s">
        <v>72</v>
      </c>
      <c r="B22" s="30">
        <v>1080402001</v>
      </c>
      <c r="C22" s="71">
        <v>3</v>
      </c>
      <c r="D22" s="72"/>
      <c r="E22" s="71">
        <f>C22+D22</f>
        <v>3</v>
      </c>
      <c r="F22" s="71"/>
      <c r="G22" s="71">
        <v>2.8</v>
      </c>
      <c r="H22" s="72">
        <f>G22+M22</f>
        <v>2.8</v>
      </c>
      <c r="I22" s="86">
        <f t="shared" si="1"/>
        <v>0.93333333333333324</v>
      </c>
      <c r="J22" s="86">
        <f t="shared" si="4"/>
        <v>0</v>
      </c>
      <c r="K22" s="71">
        <v>3.1</v>
      </c>
      <c r="L22" s="86">
        <f t="shared" si="3"/>
        <v>0.90322580645161277</v>
      </c>
      <c r="M22" s="71"/>
      <c r="N22" s="71">
        <v>0.5</v>
      </c>
      <c r="O22" s="86">
        <f t="shared" si="2"/>
        <v>0</v>
      </c>
      <c r="P22" s="71"/>
      <c r="Q22" s="71"/>
      <c r="R22" s="71"/>
    </row>
    <row r="23" spans="1:20" ht="18" hidden="1" x14ac:dyDescent="0.25">
      <c r="A23" s="9" t="s">
        <v>73</v>
      </c>
      <c r="B23" s="30">
        <v>1090405010</v>
      </c>
      <c r="C23" s="71"/>
      <c r="D23" s="71"/>
      <c r="E23" s="71">
        <f>C23+D23</f>
        <v>0</v>
      </c>
      <c r="F23" s="71"/>
      <c r="G23" s="71"/>
      <c r="H23" s="72">
        <f>G23+M23</f>
        <v>0</v>
      </c>
      <c r="I23" s="86">
        <f t="shared" si="1"/>
        <v>0</v>
      </c>
      <c r="J23" s="86">
        <f t="shared" si="4"/>
        <v>0</v>
      </c>
      <c r="K23" s="71"/>
      <c r="L23" s="86">
        <f t="shared" si="3"/>
        <v>0</v>
      </c>
      <c r="M23" s="71"/>
      <c r="N23" s="71"/>
      <c r="O23" s="86">
        <f t="shared" si="2"/>
        <v>0</v>
      </c>
      <c r="P23" s="71"/>
      <c r="Q23" s="71"/>
      <c r="R23" s="71"/>
    </row>
    <row r="24" spans="1:20" ht="18" x14ac:dyDescent="0.25">
      <c r="A24" s="32" t="s">
        <v>22</v>
      </c>
      <c r="B24" s="32"/>
      <c r="C24" s="85">
        <f t="shared" ref="C24:H24" si="13">C25+C29+C33+C31+C32+C30</f>
        <v>240</v>
      </c>
      <c r="D24" s="85">
        <f t="shared" si="13"/>
        <v>74.81</v>
      </c>
      <c r="E24" s="85">
        <f t="shared" si="13"/>
        <v>314.81</v>
      </c>
      <c r="F24" s="85">
        <f t="shared" si="13"/>
        <v>0</v>
      </c>
      <c r="G24" s="85">
        <f>G25+G29+G33+G31+G32+G30</f>
        <v>289.59999999999997</v>
      </c>
      <c r="H24" s="85">
        <f t="shared" si="13"/>
        <v>290.2</v>
      </c>
      <c r="I24" s="89">
        <f t="shared" si="1"/>
        <v>0.92182586321908444</v>
      </c>
      <c r="J24" s="89">
        <f t="shared" si="4"/>
        <v>0</v>
      </c>
      <c r="K24" s="85">
        <f>K25+K29+K33+K31+K32+K30</f>
        <v>8.8000000000000007</v>
      </c>
      <c r="L24" s="89">
        <f t="shared" si="3"/>
        <v>32.977272727272727</v>
      </c>
      <c r="M24" s="85">
        <f>M25+M29+M33+M31+M32+M30</f>
        <v>0.6</v>
      </c>
      <c r="N24" s="85">
        <f>N25+N29+N33+N31+N32+N30</f>
        <v>0.2</v>
      </c>
      <c r="O24" s="89">
        <f t="shared" si="2"/>
        <v>2.9999999999999996</v>
      </c>
      <c r="P24" s="75">
        <f>P25+P29+P32</f>
        <v>0</v>
      </c>
      <c r="Q24" s="75">
        <f>Q25+Q29+Q32</f>
        <v>0</v>
      </c>
      <c r="R24" s="75">
        <f>R25+R29+R32</f>
        <v>0</v>
      </c>
    </row>
    <row r="25" spans="1:20" ht="18" x14ac:dyDescent="0.25">
      <c r="A25" s="9" t="s">
        <v>74</v>
      </c>
      <c r="B25" s="30">
        <v>1110000000</v>
      </c>
      <c r="C25" s="71">
        <f t="shared" ref="C25:H25" si="14">C26+C28+C27</f>
        <v>15</v>
      </c>
      <c r="D25" s="71">
        <f t="shared" si="14"/>
        <v>24.7</v>
      </c>
      <c r="E25" s="71">
        <f t="shared" si="14"/>
        <v>39.700000000000003</v>
      </c>
      <c r="F25" s="71">
        <f t="shared" si="14"/>
        <v>0</v>
      </c>
      <c r="G25" s="71">
        <f>G26+G28+G27</f>
        <v>13.2</v>
      </c>
      <c r="H25" s="71">
        <f t="shared" si="14"/>
        <v>13.799999999999999</v>
      </c>
      <c r="I25" s="86">
        <f t="shared" si="1"/>
        <v>0.34760705289672539</v>
      </c>
      <c r="J25" s="86">
        <f t="shared" si="4"/>
        <v>0</v>
      </c>
      <c r="K25" s="71">
        <f>K26+K28+K27</f>
        <v>8.8000000000000007</v>
      </c>
      <c r="L25" s="86">
        <f t="shared" si="3"/>
        <v>1.5681818181818179</v>
      </c>
      <c r="M25" s="71">
        <f>M26+M28+M27</f>
        <v>0.6</v>
      </c>
      <c r="N25" s="71">
        <f>N26+N28+N27</f>
        <v>0.2</v>
      </c>
      <c r="O25" s="86">
        <f t="shared" si="2"/>
        <v>2.9999999999999996</v>
      </c>
      <c r="P25" s="71">
        <f>P26+P28+P27</f>
        <v>0</v>
      </c>
      <c r="Q25" s="71">
        <f>Q26+Q28+Q27</f>
        <v>0</v>
      </c>
      <c r="R25" s="71">
        <f>R26+R28+R27</f>
        <v>0</v>
      </c>
    </row>
    <row r="26" spans="1:20" ht="0.75" customHeight="1" x14ac:dyDescent="0.25">
      <c r="A26" s="13" t="s">
        <v>26</v>
      </c>
      <c r="B26" s="13">
        <v>1110501013</v>
      </c>
      <c r="C26" s="70"/>
      <c r="D26" s="67"/>
      <c r="E26" s="70">
        <f t="shared" ref="E26:E32" si="15">C26+D26</f>
        <v>0</v>
      </c>
      <c r="F26" s="70"/>
      <c r="G26" s="70"/>
      <c r="H26" s="67">
        <f t="shared" ref="H26:H32" si="16">G26+M26</f>
        <v>0</v>
      </c>
      <c r="I26" s="76">
        <f t="shared" si="1"/>
        <v>0</v>
      </c>
      <c r="J26" s="76">
        <f t="shared" si="4"/>
        <v>0</v>
      </c>
      <c r="K26" s="70"/>
      <c r="L26" s="76">
        <f t="shared" si="3"/>
        <v>0</v>
      </c>
      <c r="M26" s="70"/>
      <c r="N26" s="70"/>
      <c r="O26" s="76">
        <f t="shared" si="2"/>
        <v>0</v>
      </c>
      <c r="P26" s="70"/>
      <c r="Q26" s="70"/>
      <c r="R26" s="70"/>
    </row>
    <row r="27" spans="1:20" ht="21" hidden="1" customHeight="1" x14ac:dyDescent="0.25">
      <c r="A27" s="13" t="s">
        <v>27</v>
      </c>
      <c r="B27" s="13">
        <v>1110903510</v>
      </c>
      <c r="C27" s="70"/>
      <c r="D27" s="67"/>
      <c r="E27" s="70">
        <f t="shared" si="15"/>
        <v>0</v>
      </c>
      <c r="F27" s="70"/>
      <c r="G27" s="70"/>
      <c r="H27" s="67">
        <f t="shared" si="16"/>
        <v>0</v>
      </c>
      <c r="I27" s="76">
        <f t="shared" si="1"/>
        <v>0</v>
      </c>
      <c r="J27" s="76">
        <f t="shared" si="4"/>
        <v>0</v>
      </c>
      <c r="K27" s="70"/>
      <c r="L27" s="76">
        <f t="shared" si="3"/>
        <v>0</v>
      </c>
      <c r="M27" s="70"/>
      <c r="N27" s="70"/>
      <c r="O27" s="76">
        <f t="shared" si="2"/>
        <v>0</v>
      </c>
      <c r="P27" s="70"/>
      <c r="Q27" s="70"/>
      <c r="R27" s="70"/>
    </row>
    <row r="28" spans="1:20" ht="22.5" customHeight="1" x14ac:dyDescent="0.25">
      <c r="A28" s="33" t="s">
        <v>23</v>
      </c>
      <c r="B28" s="13">
        <v>1110904510</v>
      </c>
      <c r="C28" s="70">
        <v>15</v>
      </c>
      <c r="D28" s="81">
        <v>24.7</v>
      </c>
      <c r="E28" s="70">
        <f t="shared" si="15"/>
        <v>39.700000000000003</v>
      </c>
      <c r="F28" s="70"/>
      <c r="G28" s="70">
        <v>13.2</v>
      </c>
      <c r="H28" s="67">
        <f t="shared" si="16"/>
        <v>13.799999999999999</v>
      </c>
      <c r="I28" s="76">
        <f t="shared" si="1"/>
        <v>0.34760705289672539</v>
      </c>
      <c r="J28" s="76">
        <f t="shared" si="4"/>
        <v>0</v>
      </c>
      <c r="K28" s="70">
        <v>8.8000000000000007</v>
      </c>
      <c r="L28" s="76">
        <f t="shared" si="3"/>
        <v>1.5681818181818179</v>
      </c>
      <c r="M28" s="70">
        <v>0.6</v>
      </c>
      <c r="N28" s="70">
        <v>0.2</v>
      </c>
      <c r="O28" s="76">
        <f t="shared" si="2"/>
        <v>2.9999999999999996</v>
      </c>
      <c r="P28" s="70"/>
      <c r="Q28" s="70"/>
      <c r="R28" s="70"/>
    </row>
    <row r="29" spans="1:20" ht="18" x14ac:dyDescent="0.25">
      <c r="A29" s="9" t="s">
        <v>38</v>
      </c>
      <c r="B29" s="30">
        <v>1130299510</v>
      </c>
      <c r="C29" s="71"/>
      <c r="D29" s="71"/>
      <c r="E29" s="71">
        <f t="shared" si="15"/>
        <v>0</v>
      </c>
      <c r="F29" s="71"/>
      <c r="G29" s="71"/>
      <c r="H29" s="72">
        <f t="shared" si="16"/>
        <v>0</v>
      </c>
      <c r="I29" s="86">
        <f t="shared" si="1"/>
        <v>0</v>
      </c>
      <c r="J29" s="86">
        <f t="shared" si="4"/>
        <v>0</v>
      </c>
      <c r="K29" s="71"/>
      <c r="L29" s="86">
        <f t="shared" si="3"/>
        <v>0</v>
      </c>
      <c r="M29" s="71"/>
      <c r="N29" s="71"/>
      <c r="O29" s="86">
        <f t="shared" si="2"/>
        <v>0</v>
      </c>
      <c r="P29" s="71"/>
      <c r="Q29" s="71"/>
      <c r="R29" s="71"/>
    </row>
    <row r="30" spans="1:20" ht="18" x14ac:dyDescent="0.25">
      <c r="A30" s="9" t="s">
        <v>45</v>
      </c>
      <c r="B30" s="30">
        <v>1140205310</v>
      </c>
      <c r="C30" s="71"/>
      <c r="D30" s="71">
        <v>50.11</v>
      </c>
      <c r="E30" s="71">
        <f t="shared" si="15"/>
        <v>50.11</v>
      </c>
      <c r="F30" s="71"/>
      <c r="G30" s="71">
        <v>51.4</v>
      </c>
      <c r="H30" s="72">
        <f t="shared" si="16"/>
        <v>51.4</v>
      </c>
      <c r="I30" s="86">
        <f t="shared" si="1"/>
        <v>1.0257433645978846</v>
      </c>
      <c r="J30" s="86"/>
      <c r="K30" s="71"/>
      <c r="L30" s="86">
        <f t="shared" si="3"/>
        <v>0</v>
      </c>
      <c r="M30" s="71"/>
      <c r="N30" s="71"/>
      <c r="O30" s="86">
        <f t="shared" si="2"/>
        <v>0</v>
      </c>
      <c r="P30" s="71"/>
      <c r="Q30" s="71"/>
      <c r="R30" s="71"/>
    </row>
    <row r="31" spans="1:20" ht="18" x14ac:dyDescent="0.25">
      <c r="A31" s="9" t="s">
        <v>78</v>
      </c>
      <c r="B31" s="30">
        <v>1140601410</v>
      </c>
      <c r="C31" s="71"/>
      <c r="D31" s="71"/>
      <c r="E31" s="71">
        <f t="shared" si="15"/>
        <v>0</v>
      </c>
      <c r="F31" s="71"/>
      <c r="G31" s="71"/>
      <c r="H31" s="72">
        <f t="shared" si="16"/>
        <v>0</v>
      </c>
      <c r="I31" s="86">
        <f t="shared" si="1"/>
        <v>0</v>
      </c>
      <c r="J31" s="86">
        <f t="shared" si="4"/>
        <v>0</v>
      </c>
      <c r="K31" s="71"/>
      <c r="L31" s="86">
        <f t="shared" si="3"/>
        <v>0</v>
      </c>
      <c r="M31" s="71"/>
      <c r="N31" s="71"/>
      <c r="O31" s="86">
        <f t="shared" si="2"/>
        <v>0</v>
      </c>
      <c r="P31" s="71"/>
      <c r="Q31" s="71"/>
      <c r="R31" s="71"/>
    </row>
    <row r="32" spans="1:20" ht="18" x14ac:dyDescent="0.25">
      <c r="A32" s="9" t="s">
        <v>77</v>
      </c>
      <c r="B32" s="30">
        <v>1169005010</v>
      </c>
      <c r="C32" s="71"/>
      <c r="D32" s="71"/>
      <c r="E32" s="71">
        <f t="shared" si="15"/>
        <v>0</v>
      </c>
      <c r="F32" s="71"/>
      <c r="G32" s="71"/>
      <c r="H32" s="72">
        <f t="shared" si="16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3"/>
        <v>0</v>
      </c>
      <c r="M32" s="71"/>
      <c r="N32" s="71"/>
      <c r="O32" s="86">
        <f t="shared" si="2"/>
        <v>0</v>
      </c>
      <c r="P32" s="71"/>
      <c r="Q32" s="71"/>
      <c r="R32" s="71"/>
    </row>
    <row r="33" spans="1:20" ht="18" x14ac:dyDescent="0.25">
      <c r="A33" s="9" t="s">
        <v>69</v>
      </c>
      <c r="B33" s="30">
        <v>1170000000</v>
      </c>
      <c r="C33" s="72">
        <f>SUM(C34:C36)</f>
        <v>225</v>
      </c>
      <c r="D33" s="72">
        <f t="shared" ref="D33:E33" si="17">SUM(D34:D36)</f>
        <v>0</v>
      </c>
      <c r="E33" s="72">
        <f t="shared" si="17"/>
        <v>225</v>
      </c>
      <c r="F33" s="72">
        <f t="shared" ref="F33" si="18">SUM(F34:F35)</f>
        <v>0</v>
      </c>
      <c r="G33" s="72">
        <f t="shared" ref="G33" si="19">SUM(G34:G36)</f>
        <v>225</v>
      </c>
      <c r="H33" s="72">
        <f t="shared" ref="H33" si="20">SUM(H34:H36)</f>
        <v>225</v>
      </c>
      <c r="I33" s="86">
        <f>IF(E33&gt;0,H33/E33,0)</f>
        <v>1</v>
      </c>
      <c r="J33" s="86">
        <f>IF(F33&gt;0,H33/F33,0)</f>
        <v>0</v>
      </c>
      <c r="K33" s="72">
        <f t="shared" ref="K33" si="21">SUM(K34:K36)</f>
        <v>0</v>
      </c>
      <c r="L33" s="86">
        <f t="shared" si="3"/>
        <v>0</v>
      </c>
      <c r="M33" s="72">
        <f t="shared" ref="M33:N33" si="22">SUM(M34:M36)</f>
        <v>0</v>
      </c>
      <c r="N33" s="72">
        <f t="shared" si="22"/>
        <v>0</v>
      </c>
      <c r="O33" s="86">
        <f t="shared" si="2"/>
        <v>0</v>
      </c>
      <c r="P33" s="72">
        <f>SUM(P34:P35)</f>
        <v>0</v>
      </c>
      <c r="Q33" s="72">
        <f>SUM(Q34:Q35)</f>
        <v>0</v>
      </c>
      <c r="R33" s="72">
        <f>SUM(R34:R35)</f>
        <v>0</v>
      </c>
    </row>
    <row r="34" spans="1:20" ht="18" x14ac:dyDescent="0.25">
      <c r="A34" s="13" t="s">
        <v>8</v>
      </c>
      <c r="B34" s="13">
        <v>1170103003</v>
      </c>
      <c r="C34" s="70"/>
      <c r="D34" s="70"/>
      <c r="E34" s="70">
        <f>C34+D34</f>
        <v>0</v>
      </c>
      <c r="F34" s="70"/>
      <c r="G34" s="70"/>
      <c r="H34" s="67">
        <f>G34+M34</f>
        <v>0</v>
      </c>
      <c r="I34" s="76">
        <f t="shared" si="1"/>
        <v>0</v>
      </c>
      <c r="J34" s="76">
        <f t="shared" si="4"/>
        <v>0</v>
      </c>
      <c r="K34" s="70">
        <v>0</v>
      </c>
      <c r="L34" s="76">
        <f t="shared" si="3"/>
        <v>0</v>
      </c>
      <c r="M34" s="70"/>
      <c r="N34" s="70"/>
      <c r="O34" s="76">
        <f t="shared" ref="O34:O42" si="23">IF(N34&gt;0,M34/N34,0)</f>
        <v>0</v>
      </c>
      <c r="P34" s="76"/>
      <c r="Q34" s="76"/>
      <c r="R34" s="76"/>
    </row>
    <row r="35" spans="1:20" ht="18" x14ac:dyDescent="0.25">
      <c r="A35" s="13" t="s">
        <v>33</v>
      </c>
      <c r="B35" s="13">
        <v>1170505010</v>
      </c>
      <c r="C35" s="70"/>
      <c r="D35" s="67"/>
      <c r="E35" s="70">
        <f>C35+D35</f>
        <v>0</v>
      </c>
      <c r="F35" s="70"/>
      <c r="G35" s="70"/>
      <c r="H35" s="67">
        <f>G35+M35</f>
        <v>0</v>
      </c>
      <c r="I35" s="76">
        <f>IF(E35&gt;0,H35/E35,0)</f>
        <v>0</v>
      </c>
      <c r="J35" s="76">
        <f>IF(F35&gt;0,H35/F35,0)</f>
        <v>0</v>
      </c>
      <c r="K35" s="70"/>
      <c r="L35" s="76">
        <f>IF(K35&gt;0,H35/K35,0)</f>
        <v>0</v>
      </c>
      <c r="M35" s="70"/>
      <c r="N35" s="70"/>
      <c r="O35" s="76">
        <f t="shared" si="23"/>
        <v>0</v>
      </c>
      <c r="P35" s="70"/>
      <c r="Q35" s="70"/>
      <c r="R35" s="70"/>
    </row>
    <row r="36" spans="1:20" ht="18.75" x14ac:dyDescent="0.3">
      <c r="A36" s="165" t="s">
        <v>114</v>
      </c>
      <c r="B36" s="165">
        <v>1171503010</v>
      </c>
      <c r="C36" s="70">
        <v>225</v>
      </c>
      <c r="D36" s="67"/>
      <c r="E36" s="70">
        <f>C36+D36</f>
        <v>225</v>
      </c>
      <c r="F36" s="70"/>
      <c r="G36" s="70">
        <v>225</v>
      </c>
      <c r="H36" s="67">
        <f>G36+M36</f>
        <v>225</v>
      </c>
      <c r="I36" s="76">
        <f>IF(E36&gt;0,H36/E36,0)</f>
        <v>1</v>
      </c>
      <c r="J36" s="76"/>
      <c r="K36" s="70"/>
      <c r="L36" s="76">
        <f>IF(K36&gt;0,H36/K36,0)</f>
        <v>0</v>
      </c>
      <c r="M36" s="70"/>
      <c r="N36" s="70"/>
      <c r="O36" s="76">
        <f t="shared" si="23"/>
        <v>0</v>
      </c>
      <c r="P36" s="70"/>
      <c r="Q36" s="70"/>
      <c r="R36" s="70"/>
    </row>
    <row r="37" spans="1:20" ht="18" x14ac:dyDescent="0.25">
      <c r="A37" s="9" t="s">
        <v>6</v>
      </c>
      <c r="B37" s="9">
        <v>1000000000</v>
      </c>
      <c r="C37" s="78">
        <f t="shared" ref="C37:H37" si="24">C5+C24</f>
        <v>1980.4</v>
      </c>
      <c r="D37" s="77">
        <f t="shared" si="24"/>
        <v>74.81</v>
      </c>
      <c r="E37" s="77">
        <f t="shared" si="24"/>
        <v>2055.21</v>
      </c>
      <c r="F37" s="78" t="e">
        <f t="shared" si="24"/>
        <v>#REF!</v>
      </c>
      <c r="G37" s="78">
        <f>G5+G24</f>
        <v>1612.1999999999998</v>
      </c>
      <c r="H37" s="78">
        <f t="shared" si="24"/>
        <v>1703.8</v>
      </c>
      <c r="I37" s="90">
        <f t="shared" si="1"/>
        <v>0.82901503982561386</v>
      </c>
      <c r="J37" s="90" t="e">
        <f t="shared" si="4"/>
        <v>#REF!</v>
      </c>
      <c r="K37" s="78">
        <f>K5+K24</f>
        <v>1236.6000000000001</v>
      </c>
      <c r="L37" s="90">
        <f t="shared" si="3"/>
        <v>1.3778101245350152</v>
      </c>
      <c r="M37" s="78">
        <f>M5+M24</f>
        <v>91.6</v>
      </c>
      <c r="N37" s="78">
        <f>N5+N24</f>
        <v>124.2</v>
      </c>
      <c r="O37" s="90">
        <f t="shared" si="23"/>
        <v>0.7375201288244766</v>
      </c>
      <c r="P37" s="78">
        <f>P5+P24</f>
        <v>37.300000000000004</v>
      </c>
      <c r="Q37" s="78">
        <f>Q5+Q24</f>
        <v>34.9</v>
      </c>
      <c r="R37" s="78">
        <f>R5+R24</f>
        <v>24.5</v>
      </c>
      <c r="S37" s="147"/>
      <c r="T37" s="145"/>
    </row>
    <row r="38" spans="1:20" ht="18" x14ac:dyDescent="0.25">
      <c r="A38" s="9" t="s">
        <v>92</v>
      </c>
      <c r="B38" s="9"/>
      <c r="C38" s="78">
        <f t="shared" ref="C38:H38" si="25">C37-C10</f>
        <v>1107.7000000000003</v>
      </c>
      <c r="D38" s="77">
        <f t="shared" si="25"/>
        <v>74.81</v>
      </c>
      <c r="E38" s="77">
        <f t="shared" si="25"/>
        <v>1182.5100000000002</v>
      </c>
      <c r="F38" s="78" t="e">
        <f t="shared" si="25"/>
        <v>#REF!</v>
      </c>
      <c r="G38" s="78">
        <f>G37-G10</f>
        <v>995.49999999999989</v>
      </c>
      <c r="H38" s="78">
        <f t="shared" si="25"/>
        <v>1079.7</v>
      </c>
      <c r="I38" s="90">
        <f>IF(E38&gt;0,H38/E38,0)</f>
        <v>0.91305781769287353</v>
      </c>
      <c r="J38" s="90" t="e">
        <f>IF(F38&gt;0,H38/F38,0)</f>
        <v>#REF!</v>
      </c>
      <c r="K38" s="78">
        <f>K37-K10</f>
        <v>599.00000000000011</v>
      </c>
      <c r="L38" s="90">
        <f t="shared" si="3"/>
        <v>1.8025041736227043</v>
      </c>
      <c r="M38" s="78">
        <f>M37-M10</f>
        <v>84.199999999999989</v>
      </c>
      <c r="N38" s="78">
        <f>N37-N10</f>
        <v>50.000000000000014</v>
      </c>
      <c r="O38" s="90">
        <f t="shared" si="23"/>
        <v>1.6839999999999993</v>
      </c>
      <c r="P38" s="78"/>
      <c r="Q38" s="78"/>
      <c r="R38" s="78"/>
    </row>
    <row r="39" spans="1:20" ht="18" x14ac:dyDescent="0.25">
      <c r="A39" s="13" t="s">
        <v>25</v>
      </c>
      <c r="B39" s="13">
        <v>2000000000</v>
      </c>
      <c r="C39" s="70">
        <v>4992.7</v>
      </c>
      <c r="D39" s="82">
        <f>1815.187-336.4</f>
        <v>1478.7869999999998</v>
      </c>
      <c r="E39" s="70">
        <f>C39+D39</f>
        <v>6471.4869999999992</v>
      </c>
      <c r="F39" s="70"/>
      <c r="G39" s="208">
        <v>2926</v>
      </c>
      <c r="H39" s="67">
        <f>G39+M39</f>
        <v>4984.7</v>
      </c>
      <c r="I39" s="76">
        <f t="shared" si="1"/>
        <v>0.77025573875061493</v>
      </c>
      <c r="J39" s="76">
        <f t="shared" si="4"/>
        <v>0</v>
      </c>
      <c r="K39" s="70">
        <v>2542.5</v>
      </c>
      <c r="L39" s="76">
        <f t="shared" si="3"/>
        <v>1.9605506391347098</v>
      </c>
      <c r="M39" s="70">
        <v>2058.6999999999998</v>
      </c>
      <c r="N39" s="70">
        <v>317.39999999999998</v>
      </c>
      <c r="O39" s="76">
        <f t="shared" si="23"/>
        <v>6.4861373660995589</v>
      </c>
      <c r="P39" s="70"/>
      <c r="Q39" s="70"/>
      <c r="R39" s="70"/>
      <c r="S39" s="156"/>
    </row>
    <row r="40" spans="1:20" ht="18" x14ac:dyDescent="0.25">
      <c r="A40" s="13" t="s">
        <v>47</v>
      </c>
      <c r="B40" s="34" t="s">
        <v>37</v>
      </c>
      <c r="C40" s="70"/>
      <c r="D40" s="81"/>
      <c r="E40" s="70">
        <f>C40+D40</f>
        <v>0</v>
      </c>
      <c r="F40" s="70"/>
      <c r="G40" s="70"/>
      <c r="H40" s="67">
        <f>G40+M40</f>
        <v>0</v>
      </c>
      <c r="I40" s="76">
        <f t="shared" si="1"/>
        <v>0</v>
      </c>
      <c r="J40" s="76"/>
      <c r="K40" s="70"/>
      <c r="L40" s="76">
        <f t="shared" si="3"/>
        <v>0</v>
      </c>
      <c r="M40" s="70"/>
      <c r="N40" s="70"/>
      <c r="O40" s="76">
        <f t="shared" si="23"/>
        <v>0</v>
      </c>
      <c r="P40" s="70"/>
      <c r="Q40" s="70"/>
      <c r="R40" s="70"/>
    </row>
    <row r="41" spans="1:20" ht="18" x14ac:dyDescent="0.25">
      <c r="A41" s="8" t="s">
        <v>116</v>
      </c>
      <c r="B41" s="144" t="s">
        <v>126</v>
      </c>
      <c r="C41" s="70"/>
      <c r="D41" s="81"/>
      <c r="E41" s="70"/>
      <c r="F41" s="70"/>
      <c r="G41" s="70"/>
      <c r="H41" s="67">
        <f>G41+M41</f>
        <v>0</v>
      </c>
      <c r="I41" s="76"/>
      <c r="J41" s="76"/>
      <c r="K41" s="70"/>
      <c r="L41" s="76"/>
      <c r="M41" s="70"/>
      <c r="N41" s="70"/>
      <c r="O41" s="76"/>
      <c r="P41" s="70"/>
      <c r="Q41" s="70"/>
      <c r="R41" s="70"/>
    </row>
    <row r="42" spans="1:20" ht="18" x14ac:dyDescent="0.25">
      <c r="A42" s="9" t="s">
        <v>2</v>
      </c>
      <c r="B42" s="9">
        <v>0</v>
      </c>
      <c r="C42" s="87">
        <f>C37+C39+C40</f>
        <v>6973.1</v>
      </c>
      <c r="D42" s="77">
        <f>D37+D39+D40</f>
        <v>1553.5969999999998</v>
      </c>
      <c r="E42" s="77">
        <f>E37+E39+E40</f>
        <v>8526.6970000000001</v>
      </c>
      <c r="F42" s="87" t="e">
        <f>F37+F39</f>
        <v>#REF!</v>
      </c>
      <c r="G42" s="78">
        <f>G37+G39+G40+G41</f>
        <v>4538.2</v>
      </c>
      <c r="H42" s="78">
        <f>H37+H39+H40+H41</f>
        <v>6688.5</v>
      </c>
      <c r="I42" s="90">
        <f t="shared" si="1"/>
        <v>0.78441863244348897</v>
      </c>
      <c r="J42" s="90" t="e">
        <f t="shared" si="4"/>
        <v>#REF!</v>
      </c>
      <c r="K42" s="78">
        <f>K37+K39+K40</f>
        <v>3779.1000000000004</v>
      </c>
      <c r="L42" s="90">
        <f t="shared" si="3"/>
        <v>1.7698658410732713</v>
      </c>
      <c r="M42" s="78">
        <f>M37+M39+M40+M41</f>
        <v>2150.2999999999997</v>
      </c>
      <c r="N42" s="78">
        <f>N37+N39+N40</f>
        <v>441.59999999999997</v>
      </c>
      <c r="O42" s="90">
        <f t="shared" si="23"/>
        <v>4.8693387681159415</v>
      </c>
      <c r="P42" s="91">
        <f>P37+P39</f>
        <v>37.300000000000004</v>
      </c>
      <c r="Q42" s="78">
        <f>Q37+Q39</f>
        <v>34.9</v>
      </c>
      <c r="R42" s="78">
        <f>R37+R39</f>
        <v>24.5</v>
      </c>
    </row>
    <row r="43" spans="1:20" ht="18" x14ac:dyDescent="0.25">
      <c r="I43" s="142"/>
    </row>
  </sheetData>
  <mergeCells count="15">
    <mergeCell ref="C1:M1"/>
    <mergeCell ref="B2:R2"/>
    <mergeCell ref="G3:G4"/>
    <mergeCell ref="K3:L3"/>
    <mergeCell ref="H3:J3"/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</mergeCells>
  <phoneticPr fontId="0" type="noConversion"/>
  <pageMargins left="0.75" right="0.75" top="1" bottom="1" header="0.5" footer="0.5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4"/>
  <sheetViews>
    <sheetView zoomScaleNormal="100" workbookViewId="0">
      <pane xSplit="2" ySplit="4" topLeftCell="E11" activePane="bottomRight" state="frozen"/>
      <selection pane="topRight" activeCell="D1" sqref="D1"/>
      <selection pane="bottomLeft" activeCell="A5" sqref="A5"/>
      <selection pane="bottomRight" activeCell="R21" sqref="R21"/>
    </sheetView>
  </sheetViews>
  <sheetFormatPr defaultRowHeight="12.75" x14ac:dyDescent="0.2"/>
  <cols>
    <col min="1" max="1" width="41.42578125" customWidth="1"/>
    <col min="2" max="2" width="14.85546875" customWidth="1"/>
    <col min="3" max="3" width="14.7109375" customWidth="1"/>
    <col min="4" max="4" width="13" customWidth="1"/>
    <col min="5" max="5" width="15.140625" customWidth="1"/>
    <col min="6" max="6" width="0.140625" hidden="1" customWidth="1"/>
    <col min="7" max="7" width="13.7109375" customWidth="1"/>
    <col min="8" max="8" width="14.5703125" customWidth="1"/>
    <col min="9" max="9" width="12.42578125" customWidth="1"/>
    <col min="10" max="10" width="9.85546875" hidden="1" customWidth="1"/>
    <col min="11" max="11" width="14.7109375" customWidth="1"/>
    <col min="12" max="12" width="15.7109375" customWidth="1"/>
    <col min="13" max="13" width="11.85546875" customWidth="1"/>
    <col min="14" max="14" width="11.7109375" customWidth="1"/>
    <col min="15" max="15" width="14.28515625" customWidth="1"/>
    <col min="16" max="16" width="10.5703125" customWidth="1"/>
    <col min="17" max="18" width="9.85546875" customWidth="1"/>
    <col min="19" max="19" width="9.140625" hidden="1" customWidth="1"/>
    <col min="20" max="20" width="10.28515625" bestFit="1" customWidth="1"/>
  </cols>
  <sheetData>
    <row r="1" spans="1:20" ht="15.75" x14ac:dyDescent="0.25">
      <c r="A1" s="26"/>
      <c r="B1" s="47"/>
      <c r="C1" s="247" t="s">
        <v>11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48"/>
      <c r="O1" s="48"/>
      <c r="P1" s="26"/>
      <c r="Q1" s="26"/>
      <c r="R1" s="26"/>
    </row>
    <row r="2" spans="1:20" ht="15.75" x14ac:dyDescent="0.25">
      <c r="A2" s="26"/>
      <c r="B2" s="252" t="s">
        <v>140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20" ht="13.5" customHeight="1" x14ac:dyDescent="0.2">
      <c r="A3" s="241" t="s">
        <v>3</v>
      </c>
      <c r="B3" s="241" t="s">
        <v>4</v>
      </c>
      <c r="C3" s="241" t="s">
        <v>124</v>
      </c>
      <c r="D3" s="241" t="s">
        <v>24</v>
      </c>
      <c r="E3" s="241" t="s">
        <v>125</v>
      </c>
      <c r="F3" s="241" t="s">
        <v>99</v>
      </c>
      <c r="G3" s="241" t="s">
        <v>128</v>
      </c>
      <c r="H3" s="241" t="s">
        <v>123</v>
      </c>
      <c r="I3" s="241"/>
      <c r="J3" s="241"/>
      <c r="K3" s="241" t="s">
        <v>117</v>
      </c>
      <c r="L3" s="241"/>
      <c r="M3" s="241" t="s">
        <v>131</v>
      </c>
      <c r="N3" s="241" t="s">
        <v>132</v>
      </c>
      <c r="O3" s="241" t="s">
        <v>30</v>
      </c>
      <c r="P3" s="241" t="s">
        <v>9</v>
      </c>
      <c r="Q3" s="241"/>
      <c r="R3" s="241"/>
    </row>
    <row r="4" spans="1:20" ht="93.75" customHeight="1" x14ac:dyDescent="0.2">
      <c r="A4" s="251"/>
      <c r="B4" s="251"/>
      <c r="C4" s="241"/>
      <c r="D4" s="241"/>
      <c r="E4" s="241"/>
      <c r="F4" s="241"/>
      <c r="G4" s="241"/>
      <c r="H4" s="213" t="s">
        <v>133</v>
      </c>
      <c r="I4" s="174" t="s">
        <v>10</v>
      </c>
      <c r="J4" s="174" t="s">
        <v>29</v>
      </c>
      <c r="K4" s="176" t="s">
        <v>139</v>
      </c>
      <c r="L4" s="174" t="s">
        <v>30</v>
      </c>
      <c r="M4" s="241"/>
      <c r="N4" s="241"/>
      <c r="O4" s="241"/>
      <c r="P4" s="121" t="s">
        <v>122</v>
      </c>
      <c r="Q4" s="121" t="s">
        <v>129</v>
      </c>
      <c r="R4" s="121" t="s">
        <v>134</v>
      </c>
    </row>
    <row r="5" spans="1:20" ht="17.25" customHeight="1" x14ac:dyDescent="0.25">
      <c r="A5" s="29" t="s">
        <v>21</v>
      </c>
      <c r="B5" s="29"/>
      <c r="C5" s="88">
        <f t="shared" ref="C5:H5" si="0">C6+C16+C18+C23+C24+C11</f>
        <v>2040.9</v>
      </c>
      <c r="D5" s="88">
        <f t="shared" si="0"/>
        <v>0</v>
      </c>
      <c r="E5" s="88">
        <f t="shared" si="0"/>
        <v>2040.9</v>
      </c>
      <c r="F5" s="88">
        <f t="shared" si="0"/>
        <v>0</v>
      </c>
      <c r="G5" s="88">
        <f t="shared" si="0"/>
        <v>1292.4000000000001</v>
      </c>
      <c r="H5" s="88">
        <f t="shared" si="0"/>
        <v>1377.1</v>
      </c>
      <c r="I5" s="89">
        <f t="shared" ref="I5:I43" si="1">IF(E5&gt;0,H5/E5,0)</f>
        <v>0.67475133519525687</v>
      </c>
      <c r="J5" s="89">
        <f>IF(F5&gt;0,H5/F5,0)</f>
        <v>0</v>
      </c>
      <c r="K5" s="88">
        <f>K6+K16+K18+K23+K24+K11</f>
        <v>1315.5</v>
      </c>
      <c r="L5" s="89">
        <f>IF(K5&gt;0,H5/K5,0)</f>
        <v>1.046826301786393</v>
      </c>
      <c r="M5" s="88">
        <f>M6+M16+M18+M23+M24+M11</f>
        <v>84.700000000000017</v>
      </c>
      <c r="N5" s="88">
        <f>N6+N16+N18+N23+N24+N11</f>
        <v>140.5</v>
      </c>
      <c r="O5" s="89">
        <f t="shared" ref="O5:O43" si="2">IF(N5&gt;0,M5/N5,0)</f>
        <v>0.60284697508896812</v>
      </c>
      <c r="P5" s="88">
        <f>P6+P16+P18+P23+P24+P11</f>
        <v>58.2</v>
      </c>
      <c r="Q5" s="88">
        <f>Q6+Q16+Q18+Q23+Q24+Q11</f>
        <v>54</v>
      </c>
      <c r="R5" s="88">
        <f>R6+R16+R18+R23+R24+R11</f>
        <v>48.7</v>
      </c>
      <c r="T5" s="26"/>
    </row>
    <row r="6" spans="1:20" ht="18" x14ac:dyDescent="0.25">
      <c r="A6" s="9" t="s">
        <v>63</v>
      </c>
      <c r="B6" s="30">
        <v>1010200001</v>
      </c>
      <c r="C6" s="71">
        <f t="shared" ref="C6:F6" si="3">C7+C8+C9</f>
        <v>989</v>
      </c>
      <c r="D6" s="71">
        <f t="shared" si="3"/>
        <v>0</v>
      </c>
      <c r="E6" s="71">
        <f>E7+E8+E9+E10</f>
        <v>989</v>
      </c>
      <c r="F6" s="71">
        <f t="shared" si="3"/>
        <v>0</v>
      </c>
      <c r="G6" s="72">
        <f>G7+G8+G9+G10</f>
        <v>598.79999999999995</v>
      </c>
      <c r="H6" s="72">
        <f>H7+H8+H9+H10</f>
        <v>670.8</v>
      </c>
      <c r="I6" s="86">
        <f t="shared" si="1"/>
        <v>0.67826086956521736</v>
      </c>
      <c r="J6" s="86">
        <f>IF(F6&gt;0,H6/F6,0)</f>
        <v>0</v>
      </c>
      <c r="K6" s="92">
        <f>SUM(K7:K9)</f>
        <v>634.80000000000007</v>
      </c>
      <c r="L6" s="86">
        <f t="shared" ref="L6:L42" si="4">IF(K6&gt;0,H6/K6,0)</f>
        <v>1.0567107750472589</v>
      </c>
      <c r="M6" s="72">
        <f>M7+M8+M9+M10</f>
        <v>72</v>
      </c>
      <c r="N6" s="72">
        <f>N7+N8+N9+N10</f>
        <v>64.400000000000006</v>
      </c>
      <c r="O6" s="86">
        <f t="shared" si="2"/>
        <v>1.1180124223602483</v>
      </c>
      <c r="P6" s="71">
        <f>SUM(P7:P10)</f>
        <v>4.8</v>
      </c>
      <c r="Q6" s="71">
        <f t="shared" ref="Q6:R6" si="5">SUM(Q7:Q10)</f>
        <v>13.8</v>
      </c>
      <c r="R6" s="71">
        <f t="shared" si="5"/>
        <v>9.1999999999999993</v>
      </c>
      <c r="T6" s="26"/>
    </row>
    <row r="7" spans="1:20" ht="21" customHeight="1" x14ac:dyDescent="0.25">
      <c r="A7" s="10" t="s">
        <v>44</v>
      </c>
      <c r="B7" s="13">
        <v>1010201001</v>
      </c>
      <c r="C7" s="70">
        <v>986.3</v>
      </c>
      <c r="D7" s="82"/>
      <c r="E7" s="70">
        <f>C7+D7</f>
        <v>986.3</v>
      </c>
      <c r="F7" s="70"/>
      <c r="G7" s="67">
        <v>592</v>
      </c>
      <c r="H7" s="67">
        <f>G7+M7</f>
        <v>662</v>
      </c>
      <c r="I7" s="76">
        <f t="shared" si="1"/>
        <v>0.67119537666024542</v>
      </c>
      <c r="J7" s="76">
        <f t="shared" ref="J7:J39" si="6">IF(F7&gt;0,H7/F7,0)</f>
        <v>0</v>
      </c>
      <c r="K7" s="67">
        <v>632.6</v>
      </c>
      <c r="L7" s="76">
        <f t="shared" si="4"/>
        <v>1.0464748656338918</v>
      </c>
      <c r="M7" s="67">
        <v>70</v>
      </c>
      <c r="N7" s="67">
        <v>64.400000000000006</v>
      </c>
      <c r="O7" s="76">
        <f t="shared" si="2"/>
        <v>1.0869565217391304</v>
      </c>
      <c r="P7" s="70">
        <v>4.8</v>
      </c>
      <c r="Q7" s="70">
        <v>11.8</v>
      </c>
      <c r="R7" s="70">
        <v>9.1999999999999993</v>
      </c>
      <c r="T7" s="153"/>
    </row>
    <row r="8" spans="1:20" ht="18" customHeight="1" x14ac:dyDescent="0.25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6"/>
        <v>0</v>
      </c>
      <c r="K8" s="70"/>
      <c r="L8" s="76">
        <f>IF(K8&gt;0,H8/K8,0)</f>
        <v>0</v>
      </c>
      <c r="M8" s="70"/>
      <c r="N8" s="70"/>
      <c r="O8" s="76">
        <f t="shared" si="2"/>
        <v>0</v>
      </c>
      <c r="P8" s="70"/>
      <c r="Q8" s="70"/>
      <c r="R8" s="70"/>
      <c r="T8" s="26"/>
    </row>
    <row r="9" spans="1:20" ht="20.25" customHeight="1" x14ac:dyDescent="0.25">
      <c r="A9" s="10" t="s">
        <v>42</v>
      </c>
      <c r="B9" s="13">
        <v>1010203001</v>
      </c>
      <c r="C9" s="70">
        <v>2.7</v>
      </c>
      <c r="D9" s="70"/>
      <c r="E9" s="70">
        <f>C9+D9</f>
        <v>2.7</v>
      </c>
      <c r="F9" s="70"/>
      <c r="G9" s="70">
        <v>6.8</v>
      </c>
      <c r="H9" s="67">
        <f>G9+M9</f>
        <v>8.8000000000000007</v>
      </c>
      <c r="I9" s="76">
        <f t="shared" si="1"/>
        <v>3.2592592592592595</v>
      </c>
      <c r="J9" s="76">
        <f t="shared" si="6"/>
        <v>0</v>
      </c>
      <c r="K9" s="70">
        <v>2.2000000000000002</v>
      </c>
      <c r="L9" s="76">
        <f t="shared" si="4"/>
        <v>4</v>
      </c>
      <c r="M9" s="70">
        <v>2</v>
      </c>
      <c r="N9" s="70"/>
      <c r="O9" s="76">
        <f t="shared" si="2"/>
        <v>0</v>
      </c>
      <c r="P9" s="70"/>
      <c r="Q9" s="70">
        <v>2</v>
      </c>
      <c r="R9" s="70"/>
      <c r="T9" s="26"/>
    </row>
    <row r="10" spans="1:20" ht="28.5" customHeight="1" x14ac:dyDescent="0.25">
      <c r="A10" s="201" t="s">
        <v>121</v>
      </c>
      <c r="B10" s="13">
        <v>1010213001</v>
      </c>
      <c r="C10" s="70"/>
      <c r="D10" s="70"/>
      <c r="E10" s="70"/>
      <c r="F10" s="70"/>
      <c r="G10" s="70">
        <v>0</v>
      </c>
      <c r="H10" s="67">
        <f>G10+M10</f>
        <v>0</v>
      </c>
      <c r="I10" s="76">
        <f t="shared" si="1"/>
        <v>0</v>
      </c>
      <c r="J10" s="69"/>
      <c r="K10" s="70"/>
      <c r="L10" s="76">
        <f t="shared" si="4"/>
        <v>0</v>
      </c>
      <c r="M10" s="70"/>
      <c r="N10" s="70"/>
      <c r="O10" s="76">
        <f t="shared" si="2"/>
        <v>0</v>
      </c>
      <c r="P10" s="70"/>
      <c r="Q10" s="70"/>
      <c r="R10" s="70"/>
      <c r="T10" s="26"/>
    </row>
    <row r="11" spans="1:20" ht="16.5" customHeight="1" x14ac:dyDescent="0.25">
      <c r="A11" s="11" t="s">
        <v>48</v>
      </c>
      <c r="B11" s="19">
        <v>1030200001</v>
      </c>
      <c r="C11" s="71">
        <f t="shared" ref="C11" si="7">SUM(C12:C15)</f>
        <v>750.9</v>
      </c>
      <c r="D11" s="71">
        <f t="shared" ref="D11:H11" si="8">SUM(D12:D15)</f>
        <v>0</v>
      </c>
      <c r="E11" s="71">
        <f t="shared" si="8"/>
        <v>750.9</v>
      </c>
      <c r="F11" s="71"/>
      <c r="G11" s="71">
        <f>SUM(G12:G15)</f>
        <v>530.5</v>
      </c>
      <c r="H11" s="71">
        <f t="shared" si="8"/>
        <v>536.9</v>
      </c>
      <c r="I11" s="65">
        <f t="shared" si="1"/>
        <v>0.71500865627913168</v>
      </c>
      <c r="J11" s="65">
        <f>IF(F11&gt;0,H11/F11,0)</f>
        <v>0</v>
      </c>
      <c r="K11" s="71">
        <f>SUM(K12:K15)</f>
        <v>549.1</v>
      </c>
      <c r="L11" s="65">
        <f t="shared" si="4"/>
        <v>0.97778182480422504</v>
      </c>
      <c r="M11" s="71">
        <f>SUM(M12:M15)</f>
        <v>6.4</v>
      </c>
      <c r="N11" s="71">
        <f>SUM(N12:N15)</f>
        <v>63.800000000000004</v>
      </c>
      <c r="O11" s="65">
        <f t="shared" si="2"/>
        <v>0.10031347962382445</v>
      </c>
      <c r="P11" s="71">
        <f>SUM(P12:P15)</f>
        <v>0</v>
      </c>
      <c r="Q11" s="210"/>
      <c r="R11" s="71">
        <f>SUM(R12:R15)</f>
        <v>0</v>
      </c>
      <c r="T11" s="26"/>
    </row>
    <row r="12" spans="1:20" ht="20.25" customHeight="1" x14ac:dyDescent="0.25">
      <c r="A12" s="12" t="s">
        <v>49</v>
      </c>
      <c r="B12" s="12">
        <v>1030223101</v>
      </c>
      <c r="C12" s="70">
        <v>391.6</v>
      </c>
      <c r="D12" s="70"/>
      <c r="E12" s="66">
        <f>C12+D12</f>
        <v>391.6</v>
      </c>
      <c r="F12" s="66"/>
      <c r="G12" s="70">
        <v>272.60000000000002</v>
      </c>
      <c r="H12" s="68">
        <f>G12+M12</f>
        <v>278.60000000000002</v>
      </c>
      <c r="I12" s="69">
        <f t="shared" si="1"/>
        <v>0.71144024514811033</v>
      </c>
      <c r="J12" s="69">
        <f>IF(F12&gt;0,H12/F12,0)</f>
        <v>0</v>
      </c>
      <c r="K12" s="70">
        <v>281.3</v>
      </c>
      <c r="L12" s="69">
        <f t="shared" si="4"/>
        <v>0.99040170636331326</v>
      </c>
      <c r="M12" s="70">
        <v>6</v>
      </c>
      <c r="N12" s="70">
        <v>32.299999999999997</v>
      </c>
      <c r="O12" s="69">
        <f t="shared" si="2"/>
        <v>0.18575851393188855</v>
      </c>
      <c r="P12" s="70"/>
      <c r="Q12" s="208"/>
      <c r="R12" s="70"/>
      <c r="T12" s="26"/>
    </row>
    <row r="13" spans="1:20" ht="18" customHeight="1" x14ac:dyDescent="0.25">
      <c r="A13" s="12" t="s">
        <v>50</v>
      </c>
      <c r="B13" s="12">
        <v>1030224101</v>
      </c>
      <c r="C13" s="70">
        <v>1.9</v>
      </c>
      <c r="D13" s="70"/>
      <c r="E13" s="66">
        <f>C13+D13</f>
        <v>1.9</v>
      </c>
      <c r="F13" s="66"/>
      <c r="G13" s="70">
        <v>1.7</v>
      </c>
      <c r="H13" s="68">
        <f>G13+M13</f>
        <v>1.7</v>
      </c>
      <c r="I13" s="69">
        <f t="shared" si="1"/>
        <v>0.89473684210526316</v>
      </c>
      <c r="J13" s="69">
        <f>IF(F13&gt;0,H13/F13,0)</f>
        <v>0</v>
      </c>
      <c r="K13" s="70">
        <v>1.5</v>
      </c>
      <c r="L13" s="69">
        <f t="shared" si="4"/>
        <v>1.1333333333333333</v>
      </c>
      <c r="M13" s="70"/>
      <c r="N13" s="70">
        <v>0.2</v>
      </c>
      <c r="O13" s="69">
        <f t="shared" si="2"/>
        <v>0</v>
      </c>
      <c r="P13" s="70"/>
      <c r="Q13" s="208"/>
      <c r="R13" s="70"/>
      <c r="T13" s="26"/>
    </row>
    <row r="14" spans="1:20" ht="18" customHeight="1" x14ac:dyDescent="0.25">
      <c r="A14" s="12" t="s">
        <v>51</v>
      </c>
      <c r="B14" s="12">
        <v>1030225101</v>
      </c>
      <c r="C14" s="70">
        <v>406.1</v>
      </c>
      <c r="D14" s="70"/>
      <c r="E14" s="66">
        <f>C14+D14</f>
        <v>406.1</v>
      </c>
      <c r="F14" s="66"/>
      <c r="G14" s="70">
        <v>287.2</v>
      </c>
      <c r="H14" s="68">
        <f>G14+M14</f>
        <v>292.59999999999997</v>
      </c>
      <c r="I14" s="69">
        <f t="shared" si="1"/>
        <v>0.72051218911598114</v>
      </c>
      <c r="J14" s="69">
        <f>IF(F14&gt;0,H14/F14,0)</f>
        <v>0</v>
      </c>
      <c r="K14" s="70">
        <v>299.3</v>
      </c>
      <c r="L14" s="69">
        <f t="shared" si="4"/>
        <v>0.97761443367858325</v>
      </c>
      <c r="M14" s="70">
        <v>5.4</v>
      </c>
      <c r="N14" s="70">
        <v>35.200000000000003</v>
      </c>
      <c r="O14" s="69">
        <f t="shared" si="2"/>
        <v>0.15340909090909091</v>
      </c>
      <c r="P14" s="70"/>
      <c r="Q14" s="208"/>
      <c r="R14" s="70"/>
      <c r="T14" s="26"/>
    </row>
    <row r="15" spans="1:20" ht="19.5" customHeight="1" x14ac:dyDescent="0.25">
      <c r="A15" s="12" t="s">
        <v>52</v>
      </c>
      <c r="B15" s="12">
        <v>1030226101</v>
      </c>
      <c r="C15" s="70">
        <v>-48.7</v>
      </c>
      <c r="D15" s="70"/>
      <c r="E15" s="66">
        <f>C15+D15</f>
        <v>-48.7</v>
      </c>
      <c r="F15" s="66"/>
      <c r="G15" s="70">
        <v>-31</v>
      </c>
      <c r="H15" s="68">
        <f>G15+M15</f>
        <v>-36</v>
      </c>
      <c r="I15" s="69">
        <f>H15/E15</f>
        <v>0.73921971252566732</v>
      </c>
      <c r="J15" s="69">
        <f>IF(F15&gt;0,H15/F15,0)</f>
        <v>0</v>
      </c>
      <c r="K15" s="70">
        <v>-33</v>
      </c>
      <c r="L15" s="69">
        <f t="shared" si="4"/>
        <v>0</v>
      </c>
      <c r="M15" s="70">
        <v>-5</v>
      </c>
      <c r="N15" s="70">
        <v>-3.9</v>
      </c>
      <c r="O15" s="69">
        <f t="shared" si="2"/>
        <v>0</v>
      </c>
      <c r="P15" s="70"/>
      <c r="Q15" s="208">
        <f>Q16</f>
        <v>0</v>
      </c>
      <c r="R15" s="70"/>
      <c r="T15" s="26"/>
    </row>
    <row r="16" spans="1:20" ht="18" x14ac:dyDescent="0.25">
      <c r="A16" s="9" t="s">
        <v>70</v>
      </c>
      <c r="B16" s="30">
        <v>1050000000</v>
      </c>
      <c r="C16" s="71">
        <f t="shared" ref="C16" si="9">C17</f>
        <v>0</v>
      </c>
      <c r="D16" s="72">
        <f t="shared" ref="D16:F16" si="10">D17</f>
        <v>0</v>
      </c>
      <c r="E16" s="72">
        <f t="shared" si="10"/>
        <v>0</v>
      </c>
      <c r="F16" s="72">
        <f t="shared" si="10"/>
        <v>0</v>
      </c>
      <c r="G16" s="71">
        <f>G17</f>
        <v>0</v>
      </c>
      <c r="H16" s="72">
        <f>H17</f>
        <v>0</v>
      </c>
      <c r="I16" s="86">
        <f t="shared" si="1"/>
        <v>0</v>
      </c>
      <c r="J16" s="86">
        <f t="shared" si="6"/>
        <v>0</v>
      </c>
      <c r="K16" s="71">
        <f>K17</f>
        <v>0</v>
      </c>
      <c r="L16" s="86">
        <f t="shared" si="4"/>
        <v>0</v>
      </c>
      <c r="M16" s="71">
        <f>M17</f>
        <v>0</v>
      </c>
      <c r="N16" s="71">
        <f>N17</f>
        <v>0</v>
      </c>
      <c r="O16" s="86">
        <f t="shared" si="2"/>
        <v>0</v>
      </c>
      <c r="P16" s="71">
        <f>P17</f>
        <v>0</v>
      </c>
      <c r="Q16" s="210"/>
      <c r="R16" s="71">
        <f>R17</f>
        <v>0</v>
      </c>
      <c r="T16" s="26"/>
    </row>
    <row r="17" spans="1:20" ht="18" x14ac:dyDescent="0.25">
      <c r="A17" s="13" t="s">
        <v>7</v>
      </c>
      <c r="B17" s="13">
        <v>1050300001</v>
      </c>
      <c r="C17" s="70"/>
      <c r="D17" s="67"/>
      <c r="E17" s="70">
        <f>C17+D17</f>
        <v>0</v>
      </c>
      <c r="F17" s="70"/>
      <c r="G17" s="70"/>
      <c r="H17" s="67">
        <f>G17+M17</f>
        <v>0</v>
      </c>
      <c r="I17" s="76">
        <f t="shared" si="1"/>
        <v>0</v>
      </c>
      <c r="J17" s="76">
        <f t="shared" si="6"/>
        <v>0</v>
      </c>
      <c r="K17" s="70"/>
      <c r="L17" s="76">
        <f t="shared" si="4"/>
        <v>0</v>
      </c>
      <c r="M17" s="70">
        <v>0</v>
      </c>
      <c r="N17" s="70"/>
      <c r="O17" s="76">
        <f t="shared" si="2"/>
        <v>0</v>
      </c>
      <c r="P17" s="70"/>
      <c r="Q17" s="208"/>
      <c r="R17" s="70"/>
      <c r="T17" s="26"/>
    </row>
    <row r="18" spans="1:20" ht="18" x14ac:dyDescent="0.25">
      <c r="A18" s="9" t="s">
        <v>71</v>
      </c>
      <c r="B18" s="30">
        <v>1060000000</v>
      </c>
      <c r="C18" s="71">
        <f t="shared" ref="C18" si="11">C19+C22</f>
        <v>296</v>
      </c>
      <c r="D18" s="72">
        <f t="shared" ref="D18:H18" si="12">D19+D22</f>
        <v>0</v>
      </c>
      <c r="E18" s="72">
        <f t="shared" si="12"/>
        <v>296</v>
      </c>
      <c r="F18" s="72">
        <f t="shared" si="12"/>
        <v>0</v>
      </c>
      <c r="G18" s="71">
        <f>G19+G22</f>
        <v>157.70000000000002</v>
      </c>
      <c r="H18" s="72">
        <f t="shared" si="12"/>
        <v>163.1</v>
      </c>
      <c r="I18" s="86">
        <f t="shared" si="1"/>
        <v>0.55101351351351346</v>
      </c>
      <c r="J18" s="86">
        <f t="shared" si="6"/>
        <v>0</v>
      </c>
      <c r="K18" s="71">
        <f>K19+K22</f>
        <v>127.5</v>
      </c>
      <c r="L18" s="86">
        <f t="shared" si="4"/>
        <v>1.2792156862745097</v>
      </c>
      <c r="M18" s="71">
        <f>M19+M22</f>
        <v>5.4</v>
      </c>
      <c r="N18" s="71">
        <f>N19+N22</f>
        <v>11.8</v>
      </c>
      <c r="O18" s="86">
        <f t="shared" si="2"/>
        <v>0.4576271186440678</v>
      </c>
      <c r="P18" s="71">
        <f>P19+P22</f>
        <v>53.400000000000006</v>
      </c>
      <c r="Q18" s="71">
        <f>Q19+Q22</f>
        <v>40.200000000000003</v>
      </c>
      <c r="R18" s="71">
        <f>R19+R22</f>
        <v>39.5</v>
      </c>
      <c r="T18" s="26"/>
    </row>
    <row r="19" spans="1:20" ht="18" x14ac:dyDescent="0.25">
      <c r="A19" s="13" t="s">
        <v>13</v>
      </c>
      <c r="B19" s="13">
        <v>1060600000</v>
      </c>
      <c r="C19" s="70">
        <f t="shared" ref="C19" si="13">C20+C21</f>
        <v>228</v>
      </c>
      <c r="D19" s="67">
        <f t="shared" ref="D19:H19" si="14">D20+D21</f>
        <v>0</v>
      </c>
      <c r="E19" s="67">
        <f t="shared" si="14"/>
        <v>228</v>
      </c>
      <c r="F19" s="67">
        <f t="shared" si="14"/>
        <v>0</v>
      </c>
      <c r="G19" s="67">
        <f>G20+G21</f>
        <v>153.30000000000001</v>
      </c>
      <c r="H19" s="67">
        <f t="shared" si="14"/>
        <v>156.1</v>
      </c>
      <c r="I19" s="76">
        <f t="shared" si="1"/>
        <v>0.68464912280701751</v>
      </c>
      <c r="J19" s="76">
        <f t="shared" si="6"/>
        <v>0</v>
      </c>
      <c r="K19" s="67">
        <f>K20+K21</f>
        <v>120.7</v>
      </c>
      <c r="L19" s="76">
        <f t="shared" si="4"/>
        <v>1.2932891466445733</v>
      </c>
      <c r="M19" s="67">
        <f>M20+M21</f>
        <v>2.8</v>
      </c>
      <c r="N19" s="67">
        <f>N20+N21</f>
        <v>3.9</v>
      </c>
      <c r="O19" s="76">
        <f t="shared" si="2"/>
        <v>0.71794871794871795</v>
      </c>
      <c r="P19" s="70">
        <f>P20+P21</f>
        <v>36.700000000000003</v>
      </c>
      <c r="Q19" s="70">
        <f>Q20+Q21</f>
        <v>28.2</v>
      </c>
      <c r="R19" s="70">
        <f>R20+R21</f>
        <v>27.6</v>
      </c>
      <c r="T19" s="26"/>
    </row>
    <row r="20" spans="1:20" ht="18" x14ac:dyDescent="0.25">
      <c r="A20" s="13" t="s">
        <v>100</v>
      </c>
      <c r="B20" s="13">
        <v>1060603310</v>
      </c>
      <c r="C20" s="70">
        <v>163</v>
      </c>
      <c r="D20" s="67"/>
      <c r="E20" s="70">
        <f>C20+D20</f>
        <v>163</v>
      </c>
      <c r="F20" s="70"/>
      <c r="G20" s="70">
        <v>145.5</v>
      </c>
      <c r="H20" s="67">
        <f>G20+M20</f>
        <v>145.5</v>
      </c>
      <c r="I20" s="76">
        <f t="shared" si="1"/>
        <v>0.8926380368098159</v>
      </c>
      <c r="J20" s="76">
        <f t="shared" si="6"/>
        <v>0</v>
      </c>
      <c r="K20" s="70">
        <v>115.7</v>
      </c>
      <c r="L20" s="76">
        <f t="shared" si="4"/>
        <v>1.2575626620570441</v>
      </c>
      <c r="M20" s="70"/>
      <c r="N20" s="70"/>
      <c r="O20" s="76">
        <f t="shared" si="2"/>
        <v>0</v>
      </c>
      <c r="P20" s="70"/>
      <c r="Q20" s="70"/>
      <c r="R20" s="70"/>
      <c r="T20" s="26"/>
    </row>
    <row r="21" spans="1:20" ht="18" x14ac:dyDescent="0.25">
      <c r="A21" s="13" t="s">
        <v>101</v>
      </c>
      <c r="B21" s="13">
        <v>1060604310</v>
      </c>
      <c r="C21" s="70">
        <v>65</v>
      </c>
      <c r="D21" s="67"/>
      <c r="E21" s="70">
        <f>C21+D21</f>
        <v>65</v>
      </c>
      <c r="F21" s="70"/>
      <c r="G21" s="70">
        <v>7.8</v>
      </c>
      <c r="H21" s="67">
        <f>G21+M21</f>
        <v>10.6</v>
      </c>
      <c r="I21" s="76">
        <f t="shared" si="1"/>
        <v>0.16307692307692306</v>
      </c>
      <c r="J21" s="76">
        <f t="shared" si="6"/>
        <v>0</v>
      </c>
      <c r="K21" s="70">
        <v>5</v>
      </c>
      <c r="L21" s="76">
        <f t="shared" si="4"/>
        <v>2.12</v>
      </c>
      <c r="M21" s="70">
        <v>2.8</v>
      </c>
      <c r="N21" s="70">
        <v>3.9</v>
      </c>
      <c r="O21" s="76">
        <f t="shared" si="2"/>
        <v>0.71794871794871795</v>
      </c>
      <c r="P21" s="70">
        <v>36.700000000000003</v>
      </c>
      <c r="Q21" s="70">
        <v>28.2</v>
      </c>
      <c r="R21" s="70">
        <v>27.6</v>
      </c>
      <c r="T21" s="26"/>
    </row>
    <row r="22" spans="1:20" ht="18" x14ac:dyDescent="0.25">
      <c r="A22" s="13" t="s">
        <v>12</v>
      </c>
      <c r="B22" s="13">
        <v>1060103010</v>
      </c>
      <c r="C22" s="70">
        <v>68</v>
      </c>
      <c r="D22" s="67"/>
      <c r="E22" s="70">
        <f>C22+D22</f>
        <v>68</v>
      </c>
      <c r="F22" s="70"/>
      <c r="G22" s="70">
        <v>4.4000000000000004</v>
      </c>
      <c r="H22" s="67">
        <f>G22+M22</f>
        <v>7</v>
      </c>
      <c r="I22" s="76">
        <f t="shared" si="1"/>
        <v>0.10294117647058823</v>
      </c>
      <c r="J22" s="76">
        <f t="shared" si="6"/>
        <v>0</v>
      </c>
      <c r="K22" s="70">
        <v>6.8</v>
      </c>
      <c r="L22" s="76">
        <f t="shared" si="4"/>
        <v>1.0294117647058825</v>
      </c>
      <c r="M22" s="70">
        <v>2.6</v>
      </c>
      <c r="N22" s="70">
        <v>7.9</v>
      </c>
      <c r="O22" s="76">
        <f t="shared" si="2"/>
        <v>0.32911392405063289</v>
      </c>
      <c r="P22" s="70">
        <v>16.7</v>
      </c>
      <c r="Q22" s="70">
        <v>12</v>
      </c>
      <c r="R22" s="70">
        <v>11.9</v>
      </c>
      <c r="T22" s="153"/>
    </row>
    <row r="23" spans="1:20" ht="17.25" customHeight="1" x14ac:dyDescent="0.25">
      <c r="A23" s="9" t="s">
        <v>72</v>
      </c>
      <c r="B23" s="30">
        <v>1080402001</v>
      </c>
      <c r="C23" s="71">
        <v>5</v>
      </c>
      <c r="D23" s="72"/>
      <c r="E23" s="71">
        <f>C23+D23</f>
        <v>5</v>
      </c>
      <c r="F23" s="71"/>
      <c r="G23" s="71">
        <v>5.4</v>
      </c>
      <c r="H23" s="72">
        <f>G23+M23</f>
        <v>6.3000000000000007</v>
      </c>
      <c r="I23" s="86">
        <f t="shared" si="1"/>
        <v>1.2600000000000002</v>
      </c>
      <c r="J23" s="86">
        <f t="shared" si="6"/>
        <v>0</v>
      </c>
      <c r="K23" s="71">
        <v>4.0999999999999996</v>
      </c>
      <c r="L23" s="86">
        <f t="shared" si="4"/>
        <v>1.5365853658536588</v>
      </c>
      <c r="M23" s="71">
        <v>0.9</v>
      </c>
      <c r="N23" s="71">
        <v>0.5</v>
      </c>
      <c r="O23" s="86">
        <f t="shared" si="2"/>
        <v>1.8</v>
      </c>
      <c r="P23" s="71"/>
      <c r="Q23" s="208"/>
      <c r="R23" s="71"/>
      <c r="T23" s="26"/>
    </row>
    <row r="24" spans="1:20" ht="18" hidden="1" x14ac:dyDescent="0.25">
      <c r="A24" s="9" t="s">
        <v>73</v>
      </c>
      <c r="B24" s="30">
        <v>1090405010</v>
      </c>
      <c r="C24" s="71"/>
      <c r="D24" s="71"/>
      <c r="E24" s="71">
        <f>C24+D24</f>
        <v>0</v>
      </c>
      <c r="F24" s="71"/>
      <c r="G24" s="71"/>
      <c r="H24" s="72">
        <f>G24+M24</f>
        <v>0</v>
      </c>
      <c r="I24" s="86">
        <f t="shared" si="1"/>
        <v>0</v>
      </c>
      <c r="J24" s="86">
        <f t="shared" si="6"/>
        <v>0</v>
      </c>
      <c r="K24" s="71"/>
      <c r="L24" s="86">
        <f t="shared" si="4"/>
        <v>0</v>
      </c>
      <c r="M24" s="71"/>
      <c r="N24" s="71"/>
      <c r="O24" s="86">
        <f t="shared" si="2"/>
        <v>0</v>
      </c>
      <c r="P24" s="71"/>
      <c r="Q24" s="206">
        <f>Q25+Q28+Q32+Q29</f>
        <v>0</v>
      </c>
      <c r="R24" s="71"/>
      <c r="T24" s="26"/>
    </row>
    <row r="25" spans="1:20" ht="18" x14ac:dyDescent="0.25">
      <c r="A25" s="32" t="s">
        <v>22</v>
      </c>
      <c r="B25" s="32"/>
      <c r="C25" s="85">
        <f t="shared" ref="C25:H25" si="15">C26+C29+C33+C30+C32+C31</f>
        <v>1085.989</v>
      </c>
      <c r="D25" s="85">
        <f t="shared" si="15"/>
        <v>0</v>
      </c>
      <c r="E25" s="85">
        <f t="shared" si="15"/>
        <v>1085.989</v>
      </c>
      <c r="F25" s="85">
        <f t="shared" si="15"/>
        <v>0</v>
      </c>
      <c r="G25" s="85">
        <f>G26+G29+G33+G30+G32+G31</f>
        <v>856.80000000000007</v>
      </c>
      <c r="H25" s="85">
        <f t="shared" si="15"/>
        <v>872.30000000000007</v>
      </c>
      <c r="I25" s="89">
        <f t="shared" si="1"/>
        <v>0.80323097195275461</v>
      </c>
      <c r="J25" s="89">
        <f t="shared" si="6"/>
        <v>0</v>
      </c>
      <c r="K25" s="85">
        <f>K26+K29+K33+K30+K32+K31</f>
        <v>878.3</v>
      </c>
      <c r="L25" s="89">
        <f t="shared" si="4"/>
        <v>0.99316862120004568</v>
      </c>
      <c r="M25" s="85">
        <f>M26+M29+M33+M30+M32+M31</f>
        <v>15.5</v>
      </c>
      <c r="N25" s="85">
        <f>N26+N29+N33+N30+N32+N31</f>
        <v>11.3</v>
      </c>
      <c r="O25" s="89">
        <f t="shared" si="2"/>
        <v>1.3716814159292035</v>
      </c>
      <c r="P25" s="75">
        <f>P26+P29+P33+P30</f>
        <v>0</v>
      </c>
      <c r="Q25" s="207">
        <f>Q26+Q27</f>
        <v>0</v>
      </c>
      <c r="R25" s="75">
        <f>R26+R29+R33+R30</f>
        <v>0</v>
      </c>
      <c r="T25" s="26"/>
    </row>
    <row r="26" spans="1:20" ht="18" x14ac:dyDescent="0.25">
      <c r="A26" s="9" t="s">
        <v>74</v>
      </c>
      <c r="B26" s="30">
        <v>1110000000</v>
      </c>
      <c r="C26" s="71">
        <f t="shared" ref="C26:H26" si="16">C27+C28</f>
        <v>108</v>
      </c>
      <c r="D26" s="71">
        <f t="shared" si="16"/>
        <v>0</v>
      </c>
      <c r="E26" s="71">
        <f t="shared" si="16"/>
        <v>108</v>
      </c>
      <c r="F26" s="71">
        <f t="shared" si="16"/>
        <v>0</v>
      </c>
      <c r="G26" s="71">
        <f>G27+G28</f>
        <v>71.099999999999994</v>
      </c>
      <c r="H26" s="71">
        <f t="shared" si="16"/>
        <v>80.599999999999994</v>
      </c>
      <c r="I26" s="86">
        <f t="shared" si="1"/>
        <v>0.74629629629629624</v>
      </c>
      <c r="J26" s="86">
        <f t="shared" si="6"/>
        <v>0</v>
      </c>
      <c r="K26" s="71">
        <f>K27+K28</f>
        <v>84.3</v>
      </c>
      <c r="L26" s="86">
        <f t="shared" si="4"/>
        <v>0.95610913404507702</v>
      </c>
      <c r="M26" s="71">
        <f>M27+M28</f>
        <v>9.5</v>
      </c>
      <c r="N26" s="71">
        <f>N27+N28</f>
        <v>11.3</v>
      </c>
      <c r="O26" s="86">
        <f t="shared" si="2"/>
        <v>0.84070796460176989</v>
      </c>
      <c r="P26" s="71">
        <f>P27+P28</f>
        <v>0</v>
      </c>
      <c r="Q26" s="210"/>
      <c r="R26" s="71">
        <f>R27+R28</f>
        <v>0</v>
      </c>
      <c r="T26" s="26"/>
    </row>
    <row r="27" spans="1:20" ht="19.5" customHeight="1" x14ac:dyDescent="0.25">
      <c r="A27" s="13" t="s">
        <v>106</v>
      </c>
      <c r="B27" s="13">
        <v>1110502510</v>
      </c>
      <c r="C27" s="70"/>
      <c r="D27" s="67"/>
      <c r="E27" s="70">
        <f t="shared" ref="E27:E32" si="17">C27+D27</f>
        <v>0</v>
      </c>
      <c r="F27" s="70"/>
      <c r="G27" s="70"/>
      <c r="H27" s="67">
        <f t="shared" ref="H27:H32" si="18">G27+M27</f>
        <v>0</v>
      </c>
      <c r="I27" s="76">
        <f t="shared" si="1"/>
        <v>0</v>
      </c>
      <c r="J27" s="76">
        <f t="shared" si="6"/>
        <v>0</v>
      </c>
      <c r="K27" s="70"/>
      <c r="L27" s="76">
        <f t="shared" si="4"/>
        <v>0</v>
      </c>
      <c r="M27" s="70"/>
      <c r="N27" s="70"/>
      <c r="O27" s="76">
        <f t="shared" si="2"/>
        <v>0</v>
      </c>
      <c r="P27" s="70"/>
      <c r="Q27" s="208"/>
      <c r="R27" s="70"/>
      <c r="T27" s="26"/>
    </row>
    <row r="28" spans="1:20" ht="18" x14ac:dyDescent="0.25">
      <c r="A28" s="33" t="s">
        <v>23</v>
      </c>
      <c r="B28" s="13">
        <v>1110904510</v>
      </c>
      <c r="C28" s="70">
        <v>108</v>
      </c>
      <c r="D28" s="82"/>
      <c r="E28" s="70">
        <f t="shared" si="17"/>
        <v>108</v>
      </c>
      <c r="F28" s="70"/>
      <c r="G28" s="70">
        <v>71.099999999999994</v>
      </c>
      <c r="H28" s="67">
        <f t="shared" si="18"/>
        <v>80.599999999999994</v>
      </c>
      <c r="I28" s="76">
        <f t="shared" si="1"/>
        <v>0.74629629629629624</v>
      </c>
      <c r="J28" s="76">
        <f t="shared" si="6"/>
        <v>0</v>
      </c>
      <c r="K28" s="70">
        <v>84.3</v>
      </c>
      <c r="L28" s="76">
        <f t="shared" si="4"/>
        <v>0.95610913404507702</v>
      </c>
      <c r="M28" s="70">
        <v>9.5</v>
      </c>
      <c r="N28" s="70">
        <v>11.3</v>
      </c>
      <c r="O28" s="76">
        <f t="shared" si="2"/>
        <v>0.84070796460176989</v>
      </c>
      <c r="P28" s="70"/>
      <c r="Q28" s="208"/>
      <c r="R28" s="70"/>
      <c r="T28" s="26"/>
    </row>
    <row r="29" spans="1:20" ht="18" x14ac:dyDescent="0.25">
      <c r="A29" s="9" t="s">
        <v>38</v>
      </c>
      <c r="B29" s="30">
        <v>1130299510</v>
      </c>
      <c r="C29" s="71"/>
      <c r="D29" s="71">
        <f>1.074-1.074</f>
        <v>0</v>
      </c>
      <c r="E29" s="71">
        <f t="shared" si="17"/>
        <v>0</v>
      </c>
      <c r="F29" s="71"/>
      <c r="G29" s="71"/>
      <c r="H29" s="72">
        <f t="shared" si="18"/>
        <v>0</v>
      </c>
      <c r="I29" s="86">
        <f t="shared" si="1"/>
        <v>0</v>
      </c>
      <c r="J29" s="86">
        <f t="shared" si="6"/>
        <v>0</v>
      </c>
      <c r="K29" s="71"/>
      <c r="L29" s="86">
        <f t="shared" si="4"/>
        <v>0</v>
      </c>
      <c r="M29" s="71"/>
      <c r="N29" s="71"/>
      <c r="O29" s="86">
        <f t="shared" si="2"/>
        <v>0</v>
      </c>
      <c r="P29" s="71"/>
      <c r="Q29" s="210"/>
      <c r="R29" s="71"/>
      <c r="T29" s="26"/>
    </row>
    <row r="30" spans="1:20" ht="18" x14ac:dyDescent="0.25">
      <c r="A30" s="9" t="s">
        <v>76</v>
      </c>
      <c r="B30" s="30">
        <v>1140601410</v>
      </c>
      <c r="C30" s="71"/>
      <c r="D30" s="71"/>
      <c r="E30" s="71">
        <f t="shared" si="17"/>
        <v>0</v>
      </c>
      <c r="F30" s="71"/>
      <c r="G30" s="71"/>
      <c r="H30" s="72">
        <f t="shared" si="18"/>
        <v>0</v>
      </c>
      <c r="I30" s="86">
        <f>IF(E30&gt;0,H30/E30,0)</f>
        <v>0</v>
      </c>
      <c r="J30" s="86">
        <f>IF(F30&gt;0,H30/F30,0)</f>
        <v>0</v>
      </c>
      <c r="K30" s="71"/>
      <c r="L30" s="86">
        <f t="shared" si="4"/>
        <v>0</v>
      </c>
      <c r="M30" s="71"/>
      <c r="N30" s="71"/>
      <c r="O30" s="86">
        <f t="shared" si="2"/>
        <v>0</v>
      </c>
      <c r="P30" s="71"/>
      <c r="Q30" s="210"/>
      <c r="R30" s="71"/>
      <c r="T30" s="26"/>
    </row>
    <row r="31" spans="1:20" ht="18" x14ac:dyDescent="0.25">
      <c r="A31" s="9" t="s">
        <v>75</v>
      </c>
      <c r="B31" s="30">
        <v>1140205310</v>
      </c>
      <c r="C31" s="71"/>
      <c r="D31" s="71"/>
      <c r="E31" s="71">
        <f t="shared" si="17"/>
        <v>0</v>
      </c>
      <c r="F31" s="71"/>
      <c r="G31" s="71"/>
      <c r="H31" s="72">
        <f t="shared" si="18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4"/>
        <v>0</v>
      </c>
      <c r="M31" s="71"/>
      <c r="N31" s="71"/>
      <c r="O31" s="86">
        <f t="shared" si="2"/>
        <v>0</v>
      </c>
      <c r="P31" s="71"/>
      <c r="Q31" s="210"/>
      <c r="R31" s="71"/>
      <c r="T31" s="26"/>
    </row>
    <row r="32" spans="1:20" ht="18" x14ac:dyDescent="0.25">
      <c r="A32" s="9" t="s">
        <v>79</v>
      </c>
      <c r="B32" s="30">
        <v>1169005010</v>
      </c>
      <c r="C32" s="71"/>
      <c r="D32" s="71"/>
      <c r="E32" s="71">
        <f t="shared" si="17"/>
        <v>0</v>
      </c>
      <c r="F32" s="71"/>
      <c r="G32" s="71"/>
      <c r="H32" s="72">
        <f t="shared" si="18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4"/>
        <v>0</v>
      </c>
      <c r="M32" s="71"/>
      <c r="N32" s="71"/>
      <c r="O32" s="86">
        <f t="shared" si="2"/>
        <v>0</v>
      </c>
      <c r="P32" s="71"/>
      <c r="Q32" s="210">
        <f t="shared" ref="Q32" si="19">SUM(Q33:Q34)</f>
        <v>0</v>
      </c>
      <c r="R32" s="71"/>
      <c r="T32" s="26"/>
    </row>
    <row r="33" spans="1:20" ht="18" x14ac:dyDescent="0.25">
      <c r="A33" s="9" t="s">
        <v>69</v>
      </c>
      <c r="B33" s="30">
        <v>1170000000</v>
      </c>
      <c r="C33" s="71">
        <f>SUM(C34:C36)</f>
        <v>977.98900000000003</v>
      </c>
      <c r="D33" s="71">
        <f t="shared" ref="D33:H33" si="20">SUM(D34:D36)</f>
        <v>0</v>
      </c>
      <c r="E33" s="71">
        <f t="shared" si="20"/>
        <v>977.98900000000003</v>
      </c>
      <c r="F33" s="71">
        <f t="shared" si="20"/>
        <v>0</v>
      </c>
      <c r="G33" s="71">
        <f t="shared" si="20"/>
        <v>785.7</v>
      </c>
      <c r="H33" s="71">
        <f t="shared" si="20"/>
        <v>791.7</v>
      </c>
      <c r="I33" s="86">
        <f>IF(E33&gt;0,H33/E33,0)</f>
        <v>0.80951830746562592</v>
      </c>
      <c r="J33" s="86">
        <f>IF(F33&gt;0,H33/F33,0)</f>
        <v>0</v>
      </c>
      <c r="K33" s="71">
        <f t="shared" ref="K33" si="21">SUM(K34:K36)</f>
        <v>794</v>
      </c>
      <c r="L33" s="86">
        <f t="shared" si="4"/>
        <v>0.99710327455919401</v>
      </c>
      <c r="M33" s="71">
        <f t="shared" ref="M33:N33" si="22">SUM(M34:M36)</f>
        <v>6</v>
      </c>
      <c r="N33" s="71">
        <f t="shared" si="22"/>
        <v>0</v>
      </c>
      <c r="O33" s="86">
        <f t="shared" si="2"/>
        <v>0</v>
      </c>
      <c r="P33" s="71">
        <f t="shared" ref="P33:R33" si="23">SUM(P34:P35)</f>
        <v>0</v>
      </c>
      <c r="Q33" s="211"/>
      <c r="R33" s="71">
        <f t="shared" si="23"/>
        <v>0</v>
      </c>
      <c r="T33" s="26"/>
    </row>
    <row r="34" spans="1:20" ht="18" x14ac:dyDescent="0.25">
      <c r="A34" s="13" t="s">
        <v>8</v>
      </c>
      <c r="B34" s="13">
        <v>1170103003</v>
      </c>
      <c r="C34" s="70"/>
      <c r="D34" s="70"/>
      <c r="E34" s="70">
        <f>C34+D34</f>
        <v>0</v>
      </c>
      <c r="F34" s="70"/>
      <c r="G34" s="70"/>
      <c r="H34" s="67">
        <f>G34+M34</f>
        <v>0</v>
      </c>
      <c r="I34" s="76">
        <f t="shared" si="1"/>
        <v>0</v>
      </c>
      <c r="J34" s="76">
        <f t="shared" si="6"/>
        <v>0</v>
      </c>
      <c r="K34" s="70"/>
      <c r="L34" s="76">
        <f t="shared" si="4"/>
        <v>0</v>
      </c>
      <c r="M34" s="70"/>
      <c r="N34" s="70"/>
      <c r="O34" s="76">
        <f t="shared" si="2"/>
        <v>0</v>
      </c>
      <c r="P34" s="76"/>
      <c r="Q34" s="208"/>
      <c r="R34" s="76"/>
      <c r="T34" s="26"/>
    </row>
    <row r="35" spans="1:20" ht="18" x14ac:dyDescent="0.25">
      <c r="A35" s="13" t="s">
        <v>33</v>
      </c>
      <c r="B35" s="13">
        <v>1170505010</v>
      </c>
      <c r="C35" s="70"/>
      <c r="D35" s="81"/>
      <c r="E35" s="70">
        <f>C35+D35</f>
        <v>0</v>
      </c>
      <c r="F35" s="70"/>
      <c r="G35" s="70"/>
      <c r="H35" s="67">
        <f>G35+M35</f>
        <v>0</v>
      </c>
      <c r="I35" s="76">
        <f>IF(E35&gt;0,H35/E35,0)</f>
        <v>0</v>
      </c>
      <c r="J35" s="76">
        <f>IF(F35&gt;0,H35/F35,0)</f>
        <v>0</v>
      </c>
      <c r="K35" s="70">
        <v>0.1</v>
      </c>
      <c r="L35" s="76">
        <f>IF(K35&gt;0,H35/K35,0)</f>
        <v>0</v>
      </c>
      <c r="M35" s="70"/>
      <c r="N35" s="70"/>
      <c r="O35" s="76">
        <f>IF(N35&gt;0,M35/N35,0)</f>
        <v>0</v>
      </c>
      <c r="P35" s="70"/>
      <c r="Q35" s="208"/>
      <c r="R35" s="70"/>
      <c r="T35" s="26"/>
    </row>
    <row r="36" spans="1:20" ht="18.75" customHeight="1" x14ac:dyDescent="0.3">
      <c r="A36" s="165" t="s">
        <v>114</v>
      </c>
      <c r="B36" s="165">
        <v>1171503010</v>
      </c>
      <c r="C36" s="70">
        <v>977.98900000000003</v>
      </c>
      <c r="D36" s="81"/>
      <c r="E36" s="70">
        <f>C36+D36</f>
        <v>977.98900000000003</v>
      </c>
      <c r="F36" s="70"/>
      <c r="G36" s="70">
        <v>785.7</v>
      </c>
      <c r="H36" s="67">
        <f>G36+M36</f>
        <v>791.7</v>
      </c>
      <c r="I36" s="76">
        <f>IF(E36&gt;0,H36/E36,0)</f>
        <v>0.80951830746562592</v>
      </c>
      <c r="J36" s="76"/>
      <c r="K36" s="70">
        <v>793.9</v>
      </c>
      <c r="L36" s="76">
        <f>IF(K36&gt;0,H36/K36,0)</f>
        <v>0.99722887013477779</v>
      </c>
      <c r="M36" s="70">
        <v>6</v>
      </c>
      <c r="N36" s="70"/>
      <c r="O36" s="76">
        <f>IF(N36&gt;0,M36/N36,0)</f>
        <v>0</v>
      </c>
      <c r="P36" s="70"/>
      <c r="Q36" s="209"/>
      <c r="R36" s="70"/>
      <c r="T36" s="26"/>
    </row>
    <row r="37" spans="1:20" ht="18" x14ac:dyDescent="0.25">
      <c r="A37" s="9" t="s">
        <v>6</v>
      </c>
      <c r="B37" s="9">
        <v>1000000000</v>
      </c>
      <c r="C37" s="78">
        <f t="shared" ref="C37:H37" si="24">C5+C25</f>
        <v>3126.8890000000001</v>
      </c>
      <c r="D37" s="77">
        <f t="shared" si="24"/>
        <v>0</v>
      </c>
      <c r="E37" s="77">
        <f t="shared" si="24"/>
        <v>3126.8890000000001</v>
      </c>
      <c r="F37" s="78">
        <f t="shared" si="24"/>
        <v>0</v>
      </c>
      <c r="G37" s="78">
        <f>G5+G25</f>
        <v>2149.2000000000003</v>
      </c>
      <c r="H37" s="78">
        <f t="shared" si="24"/>
        <v>2249.4</v>
      </c>
      <c r="I37" s="90">
        <f t="shared" si="1"/>
        <v>0.71937315331628338</v>
      </c>
      <c r="J37" s="90">
        <f t="shared" si="6"/>
        <v>0</v>
      </c>
      <c r="K37" s="78">
        <f>K5+K25</f>
        <v>2193.8000000000002</v>
      </c>
      <c r="L37" s="90">
        <f t="shared" si="4"/>
        <v>1.0253441517002462</v>
      </c>
      <c r="M37" s="78">
        <f>M5+M25</f>
        <v>100.20000000000002</v>
      </c>
      <c r="N37" s="78">
        <f>N5+N25</f>
        <v>151.80000000000001</v>
      </c>
      <c r="O37" s="90">
        <f t="shared" si="2"/>
        <v>0.66007905138339928</v>
      </c>
      <c r="P37" s="78">
        <f>P5+P25</f>
        <v>58.2</v>
      </c>
      <c r="Q37" s="78">
        <f>Q5+Q25</f>
        <v>54</v>
      </c>
      <c r="R37" s="78">
        <f>R5+R25</f>
        <v>48.7</v>
      </c>
      <c r="T37" s="26"/>
    </row>
    <row r="38" spans="1:20" ht="18" x14ac:dyDescent="0.25">
      <c r="A38" s="9" t="s">
        <v>92</v>
      </c>
      <c r="B38" s="9"/>
      <c r="C38" s="78">
        <f t="shared" ref="C38:H38" si="25">C37-C11</f>
        <v>2375.989</v>
      </c>
      <c r="D38" s="77">
        <f t="shared" si="25"/>
        <v>0</v>
      </c>
      <c r="E38" s="77">
        <f t="shared" si="25"/>
        <v>2375.989</v>
      </c>
      <c r="F38" s="78">
        <f t="shared" si="25"/>
        <v>0</v>
      </c>
      <c r="G38" s="78">
        <f>G37-G11</f>
        <v>1618.7000000000003</v>
      </c>
      <c r="H38" s="78">
        <f t="shared" si="25"/>
        <v>1712.5</v>
      </c>
      <c r="I38" s="90">
        <f>IF(E38&gt;0,H38/E38,0)</f>
        <v>0.72075249506626504</v>
      </c>
      <c r="J38" s="90">
        <f>IF(F38&gt;0,H38/F38,0)</f>
        <v>0</v>
      </c>
      <c r="K38" s="78">
        <f>K37-K11</f>
        <v>1644.7000000000003</v>
      </c>
      <c r="L38" s="90">
        <f t="shared" si="4"/>
        <v>1.0412233234024439</v>
      </c>
      <c r="M38" s="78">
        <f>M37-M11</f>
        <v>93.800000000000011</v>
      </c>
      <c r="N38" s="78">
        <f>N37-N11</f>
        <v>88</v>
      </c>
      <c r="O38" s="90">
        <f t="shared" si="2"/>
        <v>1.0659090909090911</v>
      </c>
      <c r="P38" s="78"/>
      <c r="Q38" s="208"/>
      <c r="R38" s="78"/>
      <c r="T38" s="155"/>
    </row>
    <row r="39" spans="1:20" ht="18" x14ac:dyDescent="0.25">
      <c r="A39" s="13" t="s">
        <v>25</v>
      </c>
      <c r="B39" s="13">
        <v>2000000000</v>
      </c>
      <c r="C39" s="82">
        <v>13170.4</v>
      </c>
      <c r="D39" s="82">
        <f>4500+387+43+628.5-90</f>
        <v>5468.5</v>
      </c>
      <c r="E39" s="82">
        <f>C39+D39</f>
        <v>18638.900000000001</v>
      </c>
      <c r="F39" s="70"/>
      <c r="G39" s="70">
        <v>7471.5</v>
      </c>
      <c r="H39" s="67">
        <f>G39+M39</f>
        <v>12351.3</v>
      </c>
      <c r="I39" s="76">
        <f t="shared" si="1"/>
        <v>0.6626624961773494</v>
      </c>
      <c r="J39" s="76">
        <f t="shared" si="6"/>
        <v>0</v>
      </c>
      <c r="K39" s="70">
        <v>11396.1</v>
      </c>
      <c r="L39" s="76">
        <f t="shared" si="4"/>
        <v>1.0838181483138967</v>
      </c>
      <c r="M39" s="70">
        <v>4879.8</v>
      </c>
      <c r="N39" s="70">
        <v>4490.3999999999996</v>
      </c>
      <c r="O39" s="76">
        <f t="shared" si="2"/>
        <v>1.0867183324425442</v>
      </c>
      <c r="P39" s="70"/>
      <c r="Q39" s="208"/>
      <c r="R39" s="70"/>
      <c r="T39" s="26"/>
    </row>
    <row r="40" spans="1:20" ht="18" x14ac:dyDescent="0.25">
      <c r="A40" s="13" t="s">
        <v>46</v>
      </c>
      <c r="B40" s="34" t="s">
        <v>102</v>
      </c>
      <c r="C40" s="70">
        <v>16.8</v>
      </c>
      <c r="D40" s="81">
        <v>-16.8</v>
      </c>
      <c r="E40" s="70">
        <f>C40+D40</f>
        <v>0</v>
      </c>
      <c r="F40" s="70"/>
      <c r="G40" s="70"/>
      <c r="H40" s="67">
        <f>G40+M40</f>
        <v>0</v>
      </c>
      <c r="I40" s="76">
        <f>IF(E40&gt;0,H40/E40,0)</f>
        <v>0</v>
      </c>
      <c r="J40" s="76">
        <f>IF(F40&gt;0,H40/F40,0)</f>
        <v>0</v>
      </c>
      <c r="K40" s="70"/>
      <c r="L40" s="76">
        <f t="shared" si="4"/>
        <v>0</v>
      </c>
      <c r="M40" s="70"/>
      <c r="N40" s="70"/>
      <c r="O40" s="76">
        <f t="shared" si="2"/>
        <v>0</v>
      </c>
      <c r="P40" s="70"/>
      <c r="Q40" s="208"/>
      <c r="R40" s="70"/>
      <c r="T40" s="26"/>
    </row>
    <row r="41" spans="1:20" ht="18" x14ac:dyDescent="0.25">
      <c r="A41" s="13" t="s">
        <v>46</v>
      </c>
      <c r="B41" s="169" t="s">
        <v>120</v>
      </c>
      <c r="C41" s="70">
        <v>11.7</v>
      </c>
      <c r="D41" s="81">
        <v>16.8</v>
      </c>
      <c r="E41" s="70">
        <f>C41+D41</f>
        <v>28.5</v>
      </c>
      <c r="F41" s="70"/>
      <c r="G41" s="70"/>
      <c r="H41" s="67">
        <f>G41+M41</f>
        <v>0</v>
      </c>
      <c r="I41" s="76">
        <f>IF(E41&gt;0,H41/E41,0)</f>
        <v>0</v>
      </c>
      <c r="J41" s="76"/>
      <c r="K41" s="70">
        <v>21</v>
      </c>
      <c r="L41" s="76">
        <f t="shared" si="4"/>
        <v>0</v>
      </c>
      <c r="M41" s="70"/>
      <c r="N41" s="70"/>
      <c r="O41" s="76">
        <f t="shared" si="2"/>
        <v>0</v>
      </c>
      <c r="P41" s="70"/>
      <c r="Q41" s="209"/>
      <c r="R41" s="70"/>
      <c r="T41" s="26"/>
    </row>
    <row r="42" spans="1:20" ht="18" x14ac:dyDescent="0.25">
      <c r="A42" s="13" t="s">
        <v>116</v>
      </c>
      <c r="B42" s="169" t="s">
        <v>126</v>
      </c>
      <c r="C42" s="70"/>
      <c r="D42" s="81"/>
      <c r="E42" s="70"/>
      <c r="F42" s="70"/>
      <c r="G42" s="70">
        <v>-1.1000000000000001</v>
      </c>
      <c r="H42" s="67">
        <f>G42+M42</f>
        <v>0</v>
      </c>
      <c r="I42" s="76">
        <f>IF(E42&gt;0,H42/E42,0)</f>
        <v>0</v>
      </c>
      <c r="J42" s="76"/>
      <c r="K42" s="70"/>
      <c r="L42" s="76">
        <f t="shared" si="4"/>
        <v>0</v>
      </c>
      <c r="M42" s="70">
        <v>1.1000000000000001</v>
      </c>
      <c r="N42" s="70"/>
      <c r="O42" s="76"/>
      <c r="P42" s="70"/>
      <c r="Q42" s="209"/>
      <c r="R42" s="70"/>
      <c r="T42" s="26"/>
    </row>
    <row r="43" spans="1:20" ht="18" x14ac:dyDescent="0.25">
      <c r="A43" s="9" t="s">
        <v>2</v>
      </c>
      <c r="B43" s="9">
        <v>0</v>
      </c>
      <c r="C43" s="77">
        <f>C37+C39+C40+C41</f>
        <v>16325.789000000001</v>
      </c>
      <c r="D43" s="77">
        <f t="shared" ref="D43:F43" si="26">D37+D39+D40+D41</f>
        <v>5468.5</v>
      </c>
      <c r="E43" s="77">
        <f t="shared" si="26"/>
        <v>21794.289000000001</v>
      </c>
      <c r="F43" s="77">
        <f t="shared" si="26"/>
        <v>0</v>
      </c>
      <c r="G43" s="78">
        <f>G37+G39+G40+G41+G42</f>
        <v>9619.6</v>
      </c>
      <c r="H43" s="78">
        <f>H37+H39+H40+H41+H42</f>
        <v>14600.699999999999</v>
      </c>
      <c r="I43" s="90">
        <f t="shared" si="1"/>
        <v>0.66993238458019888</v>
      </c>
      <c r="J43" s="90"/>
      <c r="K43" s="78">
        <f t="shared" ref="K43" si="27">K37+K39+K40+K41</f>
        <v>13610.900000000001</v>
      </c>
      <c r="L43" s="78">
        <f t="shared" ref="L43" si="28">L37+L39+L40+L41</f>
        <v>2.1091623000141428</v>
      </c>
      <c r="M43" s="78">
        <f>M37+M39+M40+M41+M42</f>
        <v>4981.1000000000004</v>
      </c>
      <c r="N43" s="78">
        <f t="shared" ref="N43" si="29">N37+N39+N40+N41</f>
        <v>4642.2</v>
      </c>
      <c r="O43" s="90">
        <f t="shared" si="2"/>
        <v>1.0730041790530354</v>
      </c>
      <c r="P43" s="91">
        <f>P37+P39</f>
        <v>58.2</v>
      </c>
      <c r="Q43" s="91">
        <f>Q37+Q39</f>
        <v>54</v>
      </c>
      <c r="R43" s="78">
        <f>R37+R39</f>
        <v>48.7</v>
      </c>
      <c r="T43" s="26"/>
    </row>
    <row r="44" spans="1:20" ht="21.75" customHeight="1" x14ac:dyDescent="0.2">
      <c r="H44" s="27"/>
      <c r="I44" s="27"/>
      <c r="T44" s="26"/>
    </row>
  </sheetData>
  <mergeCells count="15">
    <mergeCell ref="C1:M1"/>
    <mergeCell ref="B2:R2"/>
    <mergeCell ref="G3:G4"/>
    <mergeCell ref="K3:L3"/>
    <mergeCell ref="H3:J3"/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</mergeCells>
  <phoneticPr fontId="0" type="noConversion"/>
  <pageMargins left="0.75" right="0.75" top="1" bottom="1" header="0.5" footer="0.5"/>
  <pageSetup paperSize="9" scale="53" orientation="landscape" r:id="rId1"/>
  <headerFooter alignWithMargins="0"/>
  <ignoredErrors>
    <ignoredError sqref="H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4"/>
  <sheetViews>
    <sheetView zoomScaleNormal="100" workbookViewId="0">
      <pane xSplit="2" ySplit="4" topLeftCell="E14" activePane="bottomRight" state="frozen"/>
      <selection pane="topRight" activeCell="D1" sqref="D1"/>
      <selection pane="bottomLeft" activeCell="A5" sqref="A5"/>
      <selection pane="bottomRight" activeCell="R21" sqref="R21"/>
    </sheetView>
  </sheetViews>
  <sheetFormatPr defaultRowHeight="12.75" x14ac:dyDescent="0.2"/>
  <cols>
    <col min="1" max="1" width="44.140625" customWidth="1"/>
    <col min="2" max="2" width="15.140625" customWidth="1"/>
    <col min="3" max="3" width="14.28515625" customWidth="1"/>
    <col min="4" max="4" width="13.7109375" customWidth="1"/>
    <col min="5" max="5" width="13.140625" customWidth="1"/>
    <col min="6" max="6" width="0.5703125" hidden="1" customWidth="1"/>
    <col min="7" max="7" width="10.85546875" customWidth="1"/>
    <col min="8" max="8" width="11.42578125" customWidth="1"/>
    <col min="9" max="9" width="12.42578125" customWidth="1"/>
    <col min="10" max="10" width="10.7109375" hidden="1" customWidth="1"/>
    <col min="11" max="11" width="10.85546875" customWidth="1"/>
    <col min="12" max="12" width="13.7109375" customWidth="1"/>
    <col min="13" max="13" width="11.42578125" customWidth="1"/>
    <col min="14" max="14" width="11.7109375" customWidth="1"/>
    <col min="15" max="15" width="16.28515625" customWidth="1"/>
    <col min="16" max="16" width="10.7109375" customWidth="1"/>
    <col min="17" max="18" width="10.140625" customWidth="1"/>
  </cols>
  <sheetData>
    <row r="1" spans="1:18" ht="15.75" x14ac:dyDescent="0.25">
      <c r="A1" s="26"/>
      <c r="B1" s="47"/>
      <c r="C1" s="247" t="s">
        <v>11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48"/>
      <c r="O1" s="48"/>
      <c r="P1" s="26"/>
      <c r="Q1" s="26"/>
      <c r="R1" s="26"/>
    </row>
    <row r="2" spans="1:18" ht="15.75" x14ac:dyDescent="0.25">
      <c r="A2" s="26"/>
      <c r="B2" s="252" t="s">
        <v>141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8" ht="13.5" customHeight="1" x14ac:dyDescent="0.2">
      <c r="A3" s="241" t="s">
        <v>3</v>
      </c>
      <c r="B3" s="241" t="s">
        <v>4</v>
      </c>
      <c r="C3" s="241" t="s">
        <v>124</v>
      </c>
      <c r="D3" s="241" t="s">
        <v>24</v>
      </c>
      <c r="E3" s="249" t="s">
        <v>125</v>
      </c>
      <c r="F3" s="249" t="s">
        <v>99</v>
      </c>
      <c r="G3" s="241" t="s">
        <v>128</v>
      </c>
      <c r="H3" s="241" t="s">
        <v>123</v>
      </c>
      <c r="I3" s="241"/>
      <c r="J3" s="241"/>
      <c r="K3" s="241" t="s">
        <v>117</v>
      </c>
      <c r="L3" s="241"/>
      <c r="M3" s="241" t="s">
        <v>142</v>
      </c>
      <c r="N3" s="241" t="s">
        <v>132</v>
      </c>
      <c r="O3" s="241" t="s">
        <v>30</v>
      </c>
      <c r="P3" s="241" t="s">
        <v>9</v>
      </c>
      <c r="Q3" s="241"/>
      <c r="R3" s="241"/>
    </row>
    <row r="4" spans="1:18" ht="104.25" customHeight="1" x14ac:dyDescent="0.2">
      <c r="A4" s="251"/>
      <c r="B4" s="251"/>
      <c r="C4" s="241"/>
      <c r="D4" s="241"/>
      <c r="E4" s="253"/>
      <c r="F4" s="253"/>
      <c r="G4" s="241"/>
      <c r="H4" s="213" t="s">
        <v>133</v>
      </c>
      <c r="I4" s="174" t="s">
        <v>10</v>
      </c>
      <c r="J4" s="174" t="s">
        <v>29</v>
      </c>
      <c r="K4" s="176" t="s">
        <v>133</v>
      </c>
      <c r="L4" s="174" t="s">
        <v>30</v>
      </c>
      <c r="M4" s="241"/>
      <c r="N4" s="241"/>
      <c r="O4" s="241"/>
      <c r="P4" s="121" t="s">
        <v>122</v>
      </c>
      <c r="Q4" s="121" t="s">
        <v>129</v>
      </c>
      <c r="R4" s="121" t="s">
        <v>134</v>
      </c>
    </row>
    <row r="5" spans="1:18" ht="20.25" customHeight="1" x14ac:dyDescent="0.25">
      <c r="A5" s="29" t="s">
        <v>21</v>
      </c>
      <c r="B5" s="29"/>
      <c r="C5" s="88">
        <f t="shared" ref="C5:H5" si="0">C6+C16+C18+C23+C24+C11</f>
        <v>1196.2</v>
      </c>
      <c r="D5" s="88">
        <f t="shared" si="0"/>
        <v>0</v>
      </c>
      <c r="E5" s="88">
        <f t="shared" si="0"/>
        <v>1196.2</v>
      </c>
      <c r="F5" s="88">
        <f t="shared" si="0"/>
        <v>0</v>
      </c>
      <c r="G5" s="88">
        <f t="shared" si="0"/>
        <v>814.6</v>
      </c>
      <c r="H5" s="88">
        <f t="shared" si="0"/>
        <v>843.2</v>
      </c>
      <c r="I5" s="89">
        <f t="shared" ref="I5:I42" si="1">IF(E5&gt;0,H5/E5,0)</f>
        <v>0.70489884634676481</v>
      </c>
      <c r="J5" s="89">
        <f>IF(F5&gt;0,H5/F5,0)</f>
        <v>0</v>
      </c>
      <c r="K5" s="88">
        <f>K6+K16+K18+K23+K24+K11</f>
        <v>847.1</v>
      </c>
      <c r="L5" s="89">
        <f>IF(K5&gt;0,H5/K5,0)</f>
        <v>0.99539605713611146</v>
      </c>
      <c r="M5" s="88">
        <f>M6+M16+M18+M23+M24+M11</f>
        <v>28.6</v>
      </c>
      <c r="N5" s="88">
        <f>N6+N16+N18+N23+N24+N11</f>
        <v>87.600000000000009</v>
      </c>
      <c r="O5" s="89">
        <f t="shared" ref="O5:O34" si="2">IF(N5&gt;0,M5/N5,0)</f>
        <v>0.32648401826484019</v>
      </c>
      <c r="P5" s="88">
        <f>P6+P16+P18+P23+P24+P11</f>
        <v>37.1</v>
      </c>
      <c r="Q5" s="88">
        <f>Q6+Q16+Q18+Q23+Q24+Q11</f>
        <v>34.5</v>
      </c>
      <c r="R5" s="88">
        <f>R6+R16+R18+R23+R24+R11</f>
        <v>33.700000000000003</v>
      </c>
    </row>
    <row r="6" spans="1:18" ht="18" x14ac:dyDescent="0.25">
      <c r="A6" s="9" t="s">
        <v>63</v>
      </c>
      <c r="B6" s="30">
        <v>1010200001</v>
      </c>
      <c r="C6" s="71">
        <f>C7+C8+C10</f>
        <v>222</v>
      </c>
      <c r="D6" s="72">
        <f>D7+D8+D10</f>
        <v>0</v>
      </c>
      <c r="E6" s="71">
        <f>E7+E8+E10</f>
        <v>222</v>
      </c>
      <c r="F6" s="71">
        <f t="shared" ref="F6" si="3">F7+F8+F9</f>
        <v>0</v>
      </c>
      <c r="G6" s="72">
        <f>G7+G8+G10+G9</f>
        <v>190.70000000000002</v>
      </c>
      <c r="H6" s="72">
        <f>H7+H8+H10+H9</f>
        <v>208.8</v>
      </c>
      <c r="I6" s="86">
        <f t="shared" si="1"/>
        <v>0.94054054054054059</v>
      </c>
      <c r="J6" s="86">
        <f>IF(F6&gt;0,H6/F6,0)</f>
        <v>0</v>
      </c>
      <c r="K6" s="72">
        <f>K7+K8+K10</f>
        <v>143</v>
      </c>
      <c r="L6" s="86">
        <f t="shared" ref="L6:L42" si="4">IF(K6&gt;0,H6/K6,0)</f>
        <v>1.4601398601398603</v>
      </c>
      <c r="M6" s="72">
        <f>M7+M8+M10+M9</f>
        <v>18.100000000000001</v>
      </c>
      <c r="N6" s="72">
        <f>N7+N8+N10</f>
        <v>8.8000000000000007</v>
      </c>
      <c r="O6" s="86">
        <f t="shared" si="2"/>
        <v>2.0568181818181817</v>
      </c>
      <c r="P6" s="71">
        <f>P7+P8+P9+P10</f>
        <v>0</v>
      </c>
      <c r="Q6" s="71">
        <f t="shared" ref="Q6:R6" si="5">Q7+Q8+Q9+Q10</f>
        <v>0.3</v>
      </c>
      <c r="R6" s="71">
        <f t="shared" si="5"/>
        <v>0</v>
      </c>
    </row>
    <row r="7" spans="1:18" ht="18" customHeight="1" x14ac:dyDescent="0.25">
      <c r="A7" s="10" t="s">
        <v>44</v>
      </c>
      <c r="B7" s="13">
        <v>1010201001</v>
      </c>
      <c r="C7" s="70">
        <v>222</v>
      </c>
      <c r="D7" s="67"/>
      <c r="E7" s="70">
        <f>C7+D7</f>
        <v>222</v>
      </c>
      <c r="F7" s="70"/>
      <c r="G7" s="67">
        <v>189.3</v>
      </c>
      <c r="H7" s="67">
        <f>G7+M7</f>
        <v>207.10000000000002</v>
      </c>
      <c r="I7" s="76">
        <f t="shared" si="1"/>
        <v>0.93288288288288301</v>
      </c>
      <c r="J7" s="76">
        <f t="shared" ref="J7:J40" si="6">IF(F7&gt;0,H7/F7,0)</f>
        <v>0</v>
      </c>
      <c r="K7" s="67">
        <v>143</v>
      </c>
      <c r="L7" s="76">
        <f t="shared" si="4"/>
        <v>1.4482517482517485</v>
      </c>
      <c r="M7" s="67">
        <v>17.8</v>
      </c>
      <c r="N7" s="67">
        <v>8.8000000000000007</v>
      </c>
      <c r="O7" s="76">
        <f t="shared" si="2"/>
        <v>2.0227272727272725</v>
      </c>
      <c r="P7" s="70"/>
      <c r="Q7" s="70">
        <v>0.3</v>
      </c>
      <c r="R7" s="70"/>
    </row>
    <row r="8" spans="1:18" ht="18" customHeight="1" x14ac:dyDescent="0.25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6"/>
        <v>0</v>
      </c>
      <c r="K8" s="70"/>
      <c r="L8" s="76">
        <f>IF(K8&gt;0,H8/K8,0)</f>
        <v>0</v>
      </c>
      <c r="M8" s="70"/>
      <c r="N8" s="70"/>
      <c r="O8" s="76">
        <f>IF(N8&gt;0,M8/N8,0)</f>
        <v>0</v>
      </c>
      <c r="P8" s="70"/>
      <c r="Q8" s="70"/>
      <c r="R8" s="70"/>
    </row>
    <row r="9" spans="1:18" ht="18" x14ac:dyDescent="0.25">
      <c r="A9" s="10" t="s">
        <v>42</v>
      </c>
      <c r="B9" s="13">
        <v>1010203001</v>
      </c>
      <c r="C9" s="70"/>
      <c r="D9" s="70"/>
      <c r="E9" s="70">
        <f>C9+D9</f>
        <v>0</v>
      </c>
      <c r="F9" s="70"/>
      <c r="G9" s="70">
        <v>1.4</v>
      </c>
      <c r="H9" s="67">
        <f>G9+M9</f>
        <v>1.7</v>
      </c>
      <c r="I9" s="76">
        <f t="shared" si="1"/>
        <v>0</v>
      </c>
      <c r="J9" s="76">
        <f t="shared" si="6"/>
        <v>0</v>
      </c>
      <c r="K9" s="70"/>
      <c r="L9" s="76">
        <f t="shared" si="4"/>
        <v>0</v>
      </c>
      <c r="M9" s="70">
        <v>0.3</v>
      </c>
      <c r="N9" s="70"/>
      <c r="O9" s="76">
        <f t="shared" si="2"/>
        <v>0</v>
      </c>
      <c r="P9" s="70"/>
      <c r="Q9" s="70"/>
      <c r="R9" s="70"/>
    </row>
    <row r="10" spans="1:18" ht="30.75" customHeight="1" x14ac:dyDescent="0.25">
      <c r="A10" s="40" t="s">
        <v>121</v>
      </c>
      <c r="B10" s="166">
        <v>1010213001</v>
      </c>
      <c r="C10" s="70"/>
      <c r="D10" s="70"/>
      <c r="E10" s="70">
        <f>C10+D10</f>
        <v>0</v>
      </c>
      <c r="F10" s="70"/>
      <c r="G10" s="70"/>
      <c r="H10" s="67">
        <f>G10+M10</f>
        <v>0</v>
      </c>
      <c r="I10" s="76">
        <f t="shared" ref="I10" si="7">IF(E10&gt;0,H10/E10,0)</f>
        <v>0</v>
      </c>
      <c r="J10" s="69"/>
      <c r="K10" s="70"/>
      <c r="L10" s="76">
        <f t="shared" si="4"/>
        <v>0</v>
      </c>
      <c r="M10" s="70"/>
      <c r="N10" s="70"/>
      <c r="O10" s="76">
        <f t="shared" si="2"/>
        <v>0</v>
      </c>
      <c r="P10" s="70"/>
      <c r="Q10" s="70"/>
      <c r="R10" s="70"/>
    </row>
    <row r="11" spans="1:18" ht="30.75" customHeight="1" x14ac:dyDescent="0.25">
      <c r="A11" s="11" t="s">
        <v>48</v>
      </c>
      <c r="B11" s="19">
        <v>1030200001</v>
      </c>
      <c r="C11" s="71">
        <f t="shared" ref="C11" si="8">SUM(C12:C15)</f>
        <v>908.2</v>
      </c>
      <c r="D11" s="71">
        <f t="shared" ref="D11:H11" si="9">SUM(D12:D15)</f>
        <v>0</v>
      </c>
      <c r="E11" s="71">
        <f t="shared" si="9"/>
        <v>908.2</v>
      </c>
      <c r="F11" s="71">
        <f t="shared" si="9"/>
        <v>0</v>
      </c>
      <c r="G11" s="71">
        <f>SUM(G12:G15)</f>
        <v>641.6</v>
      </c>
      <c r="H11" s="71">
        <f t="shared" si="9"/>
        <v>649.4</v>
      </c>
      <c r="I11" s="65">
        <f t="shared" si="1"/>
        <v>0.71504073992512651</v>
      </c>
      <c r="J11" s="65">
        <f>IF(F11&gt;0,H11/F11,0)</f>
        <v>0</v>
      </c>
      <c r="K11" s="71">
        <f>SUM(K12:K15)</f>
        <v>667.1</v>
      </c>
      <c r="L11" s="65">
        <f t="shared" si="4"/>
        <v>0.97346724628991144</v>
      </c>
      <c r="M11" s="71">
        <f>SUM(M12:M15)</f>
        <v>7.8000000000000007</v>
      </c>
      <c r="N11" s="71">
        <f>SUM(N12:N15)</f>
        <v>77.600000000000009</v>
      </c>
      <c r="O11" s="65">
        <f t="shared" si="2"/>
        <v>0.10051546391752578</v>
      </c>
      <c r="P11" s="71">
        <f>SUM(P12:P15)</f>
        <v>0</v>
      </c>
      <c r="Q11" s="71">
        <f>SUM(Q12:Q15)</f>
        <v>0</v>
      </c>
      <c r="R11" s="71">
        <f>SUM(R12:R15)</f>
        <v>0</v>
      </c>
    </row>
    <row r="12" spans="1:18" ht="18.75" customHeight="1" x14ac:dyDescent="0.25">
      <c r="A12" s="12" t="s">
        <v>49</v>
      </c>
      <c r="B12" s="12">
        <v>1030223101</v>
      </c>
      <c r="C12" s="70">
        <v>473.7</v>
      </c>
      <c r="D12" s="70"/>
      <c r="E12" s="66">
        <f>C12+D12</f>
        <v>473.7</v>
      </c>
      <c r="F12" s="66"/>
      <c r="G12" s="70">
        <v>329.7</v>
      </c>
      <c r="H12" s="68">
        <f>G12+M12</f>
        <v>336.9</v>
      </c>
      <c r="I12" s="69">
        <f t="shared" si="1"/>
        <v>0.71120962634578844</v>
      </c>
      <c r="J12" s="69">
        <f>IF(F12&gt;0,H12/F12,0)</f>
        <v>0</v>
      </c>
      <c r="K12" s="70">
        <v>341.7</v>
      </c>
      <c r="L12" s="69">
        <f t="shared" si="4"/>
        <v>0.98595258999122037</v>
      </c>
      <c r="M12" s="70">
        <v>7.2</v>
      </c>
      <c r="N12" s="70">
        <v>39.200000000000003</v>
      </c>
      <c r="O12" s="69">
        <f t="shared" si="2"/>
        <v>0.18367346938775508</v>
      </c>
      <c r="P12" s="70"/>
      <c r="Q12" s="70"/>
      <c r="R12" s="70"/>
    </row>
    <row r="13" spans="1:18" ht="18.75" customHeight="1" x14ac:dyDescent="0.25">
      <c r="A13" s="12" t="s">
        <v>50</v>
      </c>
      <c r="B13" s="12">
        <v>1030224101</v>
      </c>
      <c r="C13" s="70">
        <v>2.2999999999999998</v>
      </c>
      <c r="D13" s="70"/>
      <c r="E13" s="66">
        <f>C13+D13</f>
        <v>2.2999999999999998</v>
      </c>
      <c r="F13" s="66"/>
      <c r="G13" s="70">
        <v>1.9</v>
      </c>
      <c r="H13" s="68">
        <f>G13+M13</f>
        <v>1.9</v>
      </c>
      <c r="I13" s="69">
        <f t="shared" si="1"/>
        <v>0.82608695652173914</v>
      </c>
      <c r="J13" s="69">
        <f>IF(F13&gt;0,H13/F13,0)</f>
        <v>0</v>
      </c>
      <c r="K13" s="70">
        <v>1.7</v>
      </c>
      <c r="L13" s="69">
        <f t="shared" si="4"/>
        <v>1.1176470588235294</v>
      </c>
      <c r="M13" s="70"/>
      <c r="N13" s="70">
        <v>0.2</v>
      </c>
      <c r="O13" s="69">
        <f t="shared" si="2"/>
        <v>0</v>
      </c>
      <c r="P13" s="70"/>
      <c r="Q13" s="70"/>
      <c r="R13" s="70"/>
    </row>
    <row r="14" spans="1:18" ht="18" customHeight="1" x14ac:dyDescent="0.25">
      <c r="A14" s="12" t="s">
        <v>51</v>
      </c>
      <c r="B14" s="12">
        <v>1030225101</v>
      </c>
      <c r="C14" s="70">
        <v>491.1</v>
      </c>
      <c r="D14" s="70"/>
      <c r="E14" s="66">
        <f>C14+D14</f>
        <v>491.1</v>
      </c>
      <c r="F14" s="66"/>
      <c r="G14" s="70">
        <v>347.4</v>
      </c>
      <c r="H14" s="68">
        <f>G14+M14</f>
        <v>354</v>
      </c>
      <c r="I14" s="69">
        <f t="shared" si="1"/>
        <v>0.72083078802687839</v>
      </c>
      <c r="J14" s="69">
        <f>IF(F14&gt;0,H14/F14,0)</f>
        <v>0</v>
      </c>
      <c r="K14" s="70">
        <v>363.6</v>
      </c>
      <c r="L14" s="69">
        <f t="shared" si="4"/>
        <v>0.9735973597359735</v>
      </c>
      <c r="M14" s="70">
        <v>6.6</v>
      </c>
      <c r="N14" s="70">
        <v>42.8</v>
      </c>
      <c r="O14" s="69">
        <f t="shared" si="2"/>
        <v>0.1542056074766355</v>
      </c>
      <c r="P14" s="70"/>
      <c r="Q14" s="70"/>
      <c r="R14" s="70"/>
    </row>
    <row r="15" spans="1:18" ht="18" customHeight="1" x14ac:dyDescent="0.25">
      <c r="A15" s="12" t="s">
        <v>52</v>
      </c>
      <c r="B15" s="12">
        <v>1030226101</v>
      </c>
      <c r="C15" s="70">
        <v>-58.9</v>
      </c>
      <c r="D15" s="70"/>
      <c r="E15" s="66">
        <f>C15+D15</f>
        <v>-58.9</v>
      </c>
      <c r="F15" s="66"/>
      <c r="G15" s="70">
        <v>-37.4</v>
      </c>
      <c r="H15" s="68">
        <f>G15+M15</f>
        <v>-43.4</v>
      </c>
      <c r="I15" s="69">
        <f>H15/E15</f>
        <v>0.73684210526315785</v>
      </c>
      <c r="J15" s="69">
        <f>IF(F15&gt;0,H15/F15,0)</f>
        <v>0</v>
      </c>
      <c r="K15" s="70">
        <v>-39.9</v>
      </c>
      <c r="L15" s="69">
        <f t="shared" si="4"/>
        <v>0</v>
      </c>
      <c r="M15" s="70">
        <v>-6</v>
      </c>
      <c r="N15" s="70">
        <v>-4.5999999999999996</v>
      </c>
      <c r="O15" s="69">
        <f t="shared" si="2"/>
        <v>0</v>
      </c>
      <c r="P15" s="70"/>
      <c r="Q15" s="70"/>
      <c r="R15" s="70"/>
    </row>
    <row r="16" spans="1:18" ht="18" x14ac:dyDescent="0.25">
      <c r="A16" s="9" t="s">
        <v>70</v>
      </c>
      <c r="B16" s="30">
        <v>1050000000</v>
      </c>
      <c r="C16" s="71">
        <f t="shared" ref="C16" si="10">C17</f>
        <v>0</v>
      </c>
      <c r="D16" s="72">
        <f t="shared" ref="D16:H16" si="11">D17</f>
        <v>0</v>
      </c>
      <c r="E16" s="72">
        <f t="shared" si="11"/>
        <v>0</v>
      </c>
      <c r="F16" s="72">
        <f t="shared" si="11"/>
        <v>0</v>
      </c>
      <c r="G16" s="71">
        <f>G17</f>
        <v>0</v>
      </c>
      <c r="H16" s="72">
        <f t="shared" si="11"/>
        <v>0</v>
      </c>
      <c r="I16" s="86">
        <f t="shared" si="1"/>
        <v>0</v>
      </c>
      <c r="J16" s="86">
        <f t="shared" si="6"/>
        <v>0</v>
      </c>
      <c r="K16" s="71">
        <f>K17</f>
        <v>0</v>
      </c>
      <c r="L16" s="86">
        <f t="shared" si="4"/>
        <v>0</v>
      </c>
      <c r="M16" s="71">
        <f>M17</f>
        <v>0</v>
      </c>
      <c r="N16" s="71">
        <f>N17</f>
        <v>0</v>
      </c>
      <c r="O16" s="86">
        <f t="shared" si="2"/>
        <v>0</v>
      </c>
      <c r="P16" s="71">
        <f>P17</f>
        <v>0</v>
      </c>
      <c r="Q16" s="71">
        <f>Q17</f>
        <v>0</v>
      </c>
      <c r="R16" s="71">
        <f>R17</f>
        <v>0</v>
      </c>
    </row>
    <row r="17" spans="1:20" ht="18" x14ac:dyDescent="0.25">
      <c r="A17" s="13" t="s">
        <v>7</v>
      </c>
      <c r="B17" s="13">
        <v>1050300001</v>
      </c>
      <c r="C17" s="70"/>
      <c r="D17" s="67"/>
      <c r="E17" s="70">
        <f>C17+D17</f>
        <v>0</v>
      </c>
      <c r="F17" s="70"/>
      <c r="G17" s="70"/>
      <c r="H17" s="67">
        <f>G17+M17</f>
        <v>0</v>
      </c>
      <c r="I17" s="76">
        <f t="shared" si="1"/>
        <v>0</v>
      </c>
      <c r="J17" s="76">
        <f t="shared" si="6"/>
        <v>0</v>
      </c>
      <c r="K17" s="70"/>
      <c r="L17" s="76">
        <f t="shared" si="4"/>
        <v>0</v>
      </c>
      <c r="M17" s="70"/>
      <c r="N17" s="70"/>
      <c r="O17" s="76">
        <f t="shared" si="2"/>
        <v>0</v>
      </c>
      <c r="P17" s="70"/>
      <c r="Q17" s="70"/>
      <c r="R17" s="70"/>
    </row>
    <row r="18" spans="1:20" ht="18" x14ac:dyDescent="0.25">
      <c r="A18" s="9" t="s">
        <v>71</v>
      </c>
      <c r="B18" s="30">
        <v>1060000000</v>
      </c>
      <c r="C18" s="71">
        <f t="shared" ref="C18" si="12">C19+C22</f>
        <v>64</v>
      </c>
      <c r="D18" s="72">
        <f t="shared" ref="D18:H18" si="13">D19+D22</f>
        <v>0</v>
      </c>
      <c r="E18" s="72">
        <f t="shared" si="13"/>
        <v>64</v>
      </c>
      <c r="F18" s="72">
        <f t="shared" si="13"/>
        <v>0</v>
      </c>
      <c r="G18" s="71">
        <f>G19+G22</f>
        <v>-18.3</v>
      </c>
      <c r="H18" s="72">
        <f t="shared" si="13"/>
        <v>-15.599999999999998</v>
      </c>
      <c r="I18" s="86">
        <f t="shared" si="1"/>
        <v>-0.24374999999999997</v>
      </c>
      <c r="J18" s="86">
        <f t="shared" si="6"/>
        <v>0</v>
      </c>
      <c r="K18" s="71">
        <f>K19+K22</f>
        <v>36.299999999999997</v>
      </c>
      <c r="L18" s="86">
        <f t="shared" si="4"/>
        <v>-0.42975206611570244</v>
      </c>
      <c r="M18" s="71">
        <f>M19+M22</f>
        <v>2.6999999999999997</v>
      </c>
      <c r="N18" s="71">
        <f>N19+N22</f>
        <v>1.2</v>
      </c>
      <c r="O18" s="86">
        <f t="shared" si="2"/>
        <v>2.25</v>
      </c>
      <c r="P18" s="71">
        <f>P19+P22</f>
        <v>37.1</v>
      </c>
      <c r="Q18" s="71">
        <f>Q19+Q22</f>
        <v>34.200000000000003</v>
      </c>
      <c r="R18" s="71">
        <f>R19+R22</f>
        <v>33.700000000000003</v>
      </c>
    </row>
    <row r="19" spans="1:20" ht="18" x14ac:dyDescent="0.25">
      <c r="A19" s="13" t="s">
        <v>13</v>
      </c>
      <c r="B19" s="13">
        <v>1060600000</v>
      </c>
      <c r="C19" s="70">
        <f t="shared" ref="C19" si="14">C20+C21</f>
        <v>52</v>
      </c>
      <c r="D19" s="67">
        <f t="shared" ref="D19:H19" si="15">D20+D21</f>
        <v>0</v>
      </c>
      <c r="E19" s="67">
        <f t="shared" si="15"/>
        <v>52</v>
      </c>
      <c r="F19" s="67">
        <f t="shared" si="15"/>
        <v>0</v>
      </c>
      <c r="G19" s="70">
        <f>G20+G21</f>
        <v>-19.7</v>
      </c>
      <c r="H19" s="67">
        <f t="shared" si="15"/>
        <v>-17.399999999999999</v>
      </c>
      <c r="I19" s="76">
        <f t="shared" si="1"/>
        <v>-0.33461538461538459</v>
      </c>
      <c r="J19" s="76">
        <f t="shared" si="6"/>
        <v>0</v>
      </c>
      <c r="K19" s="70">
        <f>K20+K21</f>
        <v>31</v>
      </c>
      <c r="L19" s="76">
        <f t="shared" si="4"/>
        <v>-0.56129032258064515</v>
      </c>
      <c r="M19" s="70">
        <f>M20+M21</f>
        <v>2.2999999999999998</v>
      </c>
      <c r="N19" s="70">
        <f>N20+N21</f>
        <v>0.6</v>
      </c>
      <c r="O19" s="76">
        <f t="shared" si="2"/>
        <v>3.833333333333333</v>
      </c>
      <c r="P19" s="70">
        <f>P20+P21</f>
        <v>20.100000000000001</v>
      </c>
      <c r="Q19" s="70">
        <f>Q20+Q21</f>
        <v>18.7</v>
      </c>
      <c r="R19" s="70">
        <f>R20+R21</f>
        <v>18.2</v>
      </c>
    </row>
    <row r="20" spans="1:20" ht="18" x14ac:dyDescent="0.25">
      <c r="A20" s="13" t="s">
        <v>100</v>
      </c>
      <c r="B20" s="13">
        <v>1060603310</v>
      </c>
      <c r="C20" s="70">
        <v>26</v>
      </c>
      <c r="D20" s="67"/>
      <c r="E20" s="70">
        <f>C20+D20</f>
        <v>26</v>
      </c>
      <c r="F20" s="70"/>
      <c r="G20" s="70">
        <v>-22.7</v>
      </c>
      <c r="H20" s="67">
        <f>G20+M20</f>
        <v>-22.7</v>
      </c>
      <c r="I20" s="76">
        <f t="shared" si="1"/>
        <v>-0.87307692307692308</v>
      </c>
      <c r="J20" s="76">
        <f t="shared" si="6"/>
        <v>0</v>
      </c>
      <c r="K20" s="70">
        <v>28.8</v>
      </c>
      <c r="L20" s="76">
        <f t="shared" si="4"/>
        <v>-0.78819444444444442</v>
      </c>
      <c r="M20" s="70"/>
      <c r="N20" s="70">
        <v>0.1</v>
      </c>
      <c r="O20" s="76">
        <f t="shared" si="2"/>
        <v>0</v>
      </c>
      <c r="P20" s="70">
        <v>5.9</v>
      </c>
      <c r="Q20" s="70">
        <v>7.5</v>
      </c>
      <c r="R20" s="70">
        <v>7.5</v>
      </c>
    </row>
    <row r="21" spans="1:20" ht="18" x14ac:dyDescent="0.25">
      <c r="A21" s="13" t="s">
        <v>101</v>
      </c>
      <c r="B21" s="13">
        <v>1060604310</v>
      </c>
      <c r="C21" s="70">
        <v>26</v>
      </c>
      <c r="D21" s="67"/>
      <c r="E21" s="70">
        <f>C21+D21</f>
        <v>26</v>
      </c>
      <c r="F21" s="70"/>
      <c r="G21" s="70">
        <v>3</v>
      </c>
      <c r="H21" s="67">
        <f>G21+M21</f>
        <v>5.3</v>
      </c>
      <c r="I21" s="76">
        <f t="shared" si="1"/>
        <v>0.20384615384615384</v>
      </c>
      <c r="J21" s="76">
        <f t="shared" si="6"/>
        <v>0</v>
      </c>
      <c r="K21" s="70">
        <v>2.2000000000000002</v>
      </c>
      <c r="L21" s="76">
        <f t="shared" si="4"/>
        <v>2.4090909090909087</v>
      </c>
      <c r="M21" s="70">
        <v>2.2999999999999998</v>
      </c>
      <c r="N21" s="70">
        <v>0.5</v>
      </c>
      <c r="O21" s="76">
        <f t="shared" si="2"/>
        <v>4.5999999999999996</v>
      </c>
      <c r="P21" s="70">
        <v>14.2</v>
      </c>
      <c r="Q21" s="70">
        <v>11.2</v>
      </c>
      <c r="R21" s="70">
        <v>10.7</v>
      </c>
    </row>
    <row r="22" spans="1:20" ht="18" x14ac:dyDescent="0.25">
      <c r="A22" s="13" t="s">
        <v>12</v>
      </c>
      <c r="B22" s="13">
        <v>1060103010</v>
      </c>
      <c r="C22" s="70">
        <v>12</v>
      </c>
      <c r="D22" s="67"/>
      <c r="E22" s="70">
        <f>C22+D22</f>
        <v>12</v>
      </c>
      <c r="F22" s="70"/>
      <c r="G22" s="70">
        <v>1.4</v>
      </c>
      <c r="H22" s="67">
        <f>G22+M22</f>
        <v>1.7999999999999998</v>
      </c>
      <c r="I22" s="76">
        <f t="shared" si="1"/>
        <v>0.15</v>
      </c>
      <c r="J22" s="76">
        <f t="shared" si="6"/>
        <v>0</v>
      </c>
      <c r="K22" s="70">
        <v>5.3</v>
      </c>
      <c r="L22" s="76">
        <f t="shared" si="4"/>
        <v>0.33962264150943394</v>
      </c>
      <c r="M22" s="70">
        <v>0.4</v>
      </c>
      <c r="N22" s="70">
        <v>0.6</v>
      </c>
      <c r="O22" s="76">
        <f t="shared" si="2"/>
        <v>0.66666666666666674</v>
      </c>
      <c r="P22" s="70">
        <v>17</v>
      </c>
      <c r="Q22" s="70">
        <v>15.5</v>
      </c>
      <c r="R22" s="70">
        <v>15.5</v>
      </c>
      <c r="S22" s="127"/>
      <c r="T22" s="145"/>
    </row>
    <row r="23" spans="1:20" ht="18" x14ac:dyDescent="0.25">
      <c r="A23" s="9" t="s">
        <v>72</v>
      </c>
      <c r="B23" s="30">
        <v>1080402001</v>
      </c>
      <c r="C23" s="71">
        <v>2</v>
      </c>
      <c r="D23" s="72"/>
      <c r="E23" s="71">
        <f>C23+D23</f>
        <v>2</v>
      </c>
      <c r="F23" s="71"/>
      <c r="G23" s="71">
        <v>0.6</v>
      </c>
      <c r="H23" s="72">
        <f>G23+M23</f>
        <v>0.6</v>
      </c>
      <c r="I23" s="86">
        <f t="shared" si="1"/>
        <v>0.3</v>
      </c>
      <c r="J23" s="86">
        <f t="shared" si="6"/>
        <v>0</v>
      </c>
      <c r="K23" s="71">
        <v>0.7</v>
      </c>
      <c r="L23" s="86">
        <f t="shared" si="4"/>
        <v>0.85714285714285721</v>
      </c>
      <c r="M23" s="71"/>
      <c r="N23" s="71"/>
      <c r="O23" s="86">
        <f t="shared" si="2"/>
        <v>0</v>
      </c>
      <c r="P23" s="71"/>
      <c r="Q23" s="71"/>
      <c r="R23" s="71"/>
    </row>
    <row r="24" spans="1:20" ht="18" hidden="1" x14ac:dyDescent="0.25">
      <c r="A24" s="9" t="s">
        <v>73</v>
      </c>
      <c r="B24" s="30">
        <v>1090405010</v>
      </c>
      <c r="C24" s="71"/>
      <c r="D24" s="71"/>
      <c r="E24" s="71">
        <f>C24+D24</f>
        <v>0</v>
      </c>
      <c r="F24" s="71"/>
      <c r="G24" s="71"/>
      <c r="H24" s="72">
        <f>G24+M24</f>
        <v>0</v>
      </c>
      <c r="I24" s="86">
        <f t="shared" si="1"/>
        <v>0</v>
      </c>
      <c r="J24" s="86">
        <f t="shared" si="6"/>
        <v>0</v>
      </c>
      <c r="K24" s="71"/>
      <c r="L24" s="86">
        <f t="shared" si="4"/>
        <v>0</v>
      </c>
      <c r="M24" s="71"/>
      <c r="N24" s="71"/>
      <c r="O24" s="86">
        <f t="shared" si="2"/>
        <v>0</v>
      </c>
      <c r="P24" s="71"/>
      <c r="Q24" s="71"/>
      <c r="R24" s="71"/>
    </row>
    <row r="25" spans="1:20" ht="18" x14ac:dyDescent="0.25">
      <c r="A25" s="32" t="s">
        <v>22</v>
      </c>
      <c r="B25" s="32"/>
      <c r="C25" s="75">
        <f t="shared" ref="C25:H25" si="16">C26+C30+C34+C33+C32+C31</f>
        <v>288</v>
      </c>
      <c r="D25" s="75">
        <f t="shared" si="16"/>
        <v>82.707000000000008</v>
      </c>
      <c r="E25" s="75">
        <f t="shared" si="16"/>
        <v>370.70699999999999</v>
      </c>
      <c r="F25" s="75">
        <f t="shared" si="16"/>
        <v>0</v>
      </c>
      <c r="G25" s="75">
        <f>G26+G30+G34+G33+G32+G31</f>
        <v>232.1</v>
      </c>
      <c r="H25" s="75">
        <f t="shared" si="16"/>
        <v>240.89999999999998</v>
      </c>
      <c r="I25" s="89">
        <f t="shared" si="1"/>
        <v>0.64983936100478268</v>
      </c>
      <c r="J25" s="89">
        <f t="shared" si="6"/>
        <v>0</v>
      </c>
      <c r="K25" s="75">
        <f>K26+K30+K34+K33+K32+K31</f>
        <v>156.19999999999999</v>
      </c>
      <c r="L25" s="89">
        <f t="shared" si="4"/>
        <v>1.5422535211267605</v>
      </c>
      <c r="M25" s="75">
        <f>M26+M30+M34+M33+M32+M31</f>
        <v>8.8000000000000007</v>
      </c>
      <c r="N25" s="75">
        <f>N26+N30+N34+N33+N32+N31</f>
        <v>5.3</v>
      </c>
      <c r="O25" s="89">
        <f t="shared" si="2"/>
        <v>1.6603773584905663</v>
      </c>
      <c r="P25" s="75">
        <f>P26+P30+P34+P33+P32</f>
        <v>0</v>
      </c>
      <c r="Q25" s="75">
        <f>Q26+Q30+Q34+Q33+Q32</f>
        <v>0</v>
      </c>
      <c r="R25" s="75">
        <f>R26+R30+R34+R33+R32</f>
        <v>0</v>
      </c>
    </row>
    <row r="26" spans="1:20" ht="17.25" customHeight="1" x14ac:dyDescent="0.25">
      <c r="A26" s="9" t="s">
        <v>74</v>
      </c>
      <c r="B26" s="30">
        <v>1110000000</v>
      </c>
      <c r="C26" s="72">
        <f>C27+C29+C28</f>
        <v>70</v>
      </c>
      <c r="D26" s="72">
        <f>D27+D29+D28</f>
        <v>82.707000000000008</v>
      </c>
      <c r="E26" s="72">
        <f t="shared" ref="E26:H26" si="17">E27+E29+E28</f>
        <v>152.70699999999999</v>
      </c>
      <c r="F26" s="72">
        <f t="shared" si="17"/>
        <v>0</v>
      </c>
      <c r="G26" s="72">
        <f t="shared" si="17"/>
        <v>51.5</v>
      </c>
      <c r="H26" s="72">
        <f t="shared" si="17"/>
        <v>60.8</v>
      </c>
      <c r="I26" s="86">
        <f t="shared" si="1"/>
        <v>0.39814808751399738</v>
      </c>
      <c r="J26" s="86">
        <f t="shared" si="6"/>
        <v>0</v>
      </c>
      <c r="K26" s="71">
        <f>K27+K29</f>
        <v>60.6</v>
      </c>
      <c r="L26" s="86">
        <f t="shared" si="4"/>
        <v>1.0033003300330032</v>
      </c>
      <c r="M26" s="72">
        <f t="shared" ref="M26:N26" si="18">M27+M29+M28</f>
        <v>9.3000000000000007</v>
      </c>
      <c r="N26" s="72">
        <f t="shared" si="18"/>
        <v>5</v>
      </c>
      <c r="O26" s="86">
        <f t="shared" si="2"/>
        <v>1.86</v>
      </c>
      <c r="P26" s="71">
        <f>P27+P29</f>
        <v>0</v>
      </c>
      <c r="Q26" s="71">
        <f>Q27+Q29</f>
        <v>0</v>
      </c>
      <c r="R26" s="71">
        <f>R27+R29</f>
        <v>0</v>
      </c>
    </row>
    <row r="27" spans="1:20" ht="18.75" hidden="1" customHeight="1" x14ac:dyDescent="0.25">
      <c r="A27" s="13" t="s">
        <v>18</v>
      </c>
      <c r="B27" s="13">
        <v>1110903510</v>
      </c>
      <c r="C27" s="70"/>
      <c r="D27" s="67"/>
      <c r="E27" s="70">
        <f t="shared" ref="E27:E33" si="19">C27+D27</f>
        <v>0</v>
      </c>
      <c r="F27" s="70"/>
      <c r="G27" s="70"/>
      <c r="H27" s="67">
        <f t="shared" ref="H27:H33" si="20">G27+M27</f>
        <v>0</v>
      </c>
      <c r="I27" s="76">
        <f t="shared" si="1"/>
        <v>0</v>
      </c>
      <c r="J27" s="76">
        <f t="shared" si="6"/>
        <v>0</v>
      </c>
      <c r="K27" s="70"/>
      <c r="L27" s="76">
        <f t="shared" si="4"/>
        <v>0</v>
      </c>
      <c r="M27" s="70"/>
      <c r="N27" s="70"/>
      <c r="O27" s="76">
        <f t="shared" si="2"/>
        <v>0</v>
      </c>
      <c r="P27" s="70"/>
      <c r="Q27" s="70"/>
      <c r="R27" s="70"/>
    </row>
    <row r="28" spans="1:20" ht="18.75" customHeight="1" x14ac:dyDescent="0.25">
      <c r="A28" s="13" t="s">
        <v>106</v>
      </c>
      <c r="B28" s="223">
        <v>1110502510</v>
      </c>
      <c r="C28" s="70"/>
      <c r="D28" s="67">
        <v>8.6999999999999993</v>
      </c>
      <c r="E28" s="70">
        <f t="shared" si="19"/>
        <v>8.6999999999999993</v>
      </c>
      <c r="F28" s="70"/>
      <c r="G28" s="70">
        <v>8.6999999999999993</v>
      </c>
      <c r="H28" s="67">
        <f>G28+M28</f>
        <v>8.6999999999999993</v>
      </c>
      <c r="I28" s="76">
        <f t="shared" si="1"/>
        <v>1</v>
      </c>
      <c r="J28" s="76"/>
      <c r="K28" s="67">
        <f>J28+P28</f>
        <v>0</v>
      </c>
      <c r="L28" s="76">
        <f t="shared" si="4"/>
        <v>0</v>
      </c>
      <c r="M28" s="70"/>
      <c r="N28" s="70"/>
      <c r="O28" s="76">
        <f t="shared" si="2"/>
        <v>0</v>
      </c>
      <c r="P28" s="70"/>
      <c r="Q28" s="70"/>
      <c r="R28" s="70"/>
    </row>
    <row r="29" spans="1:20" ht="18" x14ac:dyDescent="0.25">
      <c r="A29" s="33" t="s">
        <v>23</v>
      </c>
      <c r="B29" s="13">
        <v>1110904510</v>
      </c>
      <c r="C29" s="70">
        <v>70</v>
      </c>
      <c r="D29" s="82">
        <f>32.707+41.3</f>
        <v>74.007000000000005</v>
      </c>
      <c r="E29" s="70">
        <f t="shared" si="19"/>
        <v>144.00700000000001</v>
      </c>
      <c r="F29" s="70"/>
      <c r="G29" s="70">
        <v>42.8</v>
      </c>
      <c r="H29" s="67">
        <f t="shared" si="20"/>
        <v>52.099999999999994</v>
      </c>
      <c r="I29" s="76">
        <f t="shared" si="1"/>
        <v>0.36178796864041324</v>
      </c>
      <c r="J29" s="76">
        <f t="shared" si="6"/>
        <v>0</v>
      </c>
      <c r="K29" s="70">
        <v>60.6</v>
      </c>
      <c r="L29" s="76">
        <f t="shared" si="4"/>
        <v>0.85973597359735965</v>
      </c>
      <c r="M29" s="70">
        <v>9.3000000000000007</v>
      </c>
      <c r="N29" s="70">
        <v>5</v>
      </c>
      <c r="O29" s="76">
        <f t="shared" si="2"/>
        <v>1.86</v>
      </c>
      <c r="P29" s="70"/>
      <c r="Q29" s="70"/>
      <c r="R29" s="70"/>
    </row>
    <row r="30" spans="1:20" ht="18" x14ac:dyDescent="0.25">
      <c r="A30" s="9" t="s">
        <v>38</v>
      </c>
      <c r="B30" s="30">
        <v>1130299510</v>
      </c>
      <c r="C30" s="71"/>
      <c r="D30" s="71"/>
      <c r="E30" s="126">
        <f t="shared" si="19"/>
        <v>0</v>
      </c>
      <c r="F30" s="71"/>
      <c r="G30" s="71">
        <v>1</v>
      </c>
      <c r="H30" s="72">
        <f t="shared" si="20"/>
        <v>0.5</v>
      </c>
      <c r="I30" s="86">
        <f t="shared" si="1"/>
        <v>0</v>
      </c>
      <c r="J30" s="86">
        <f t="shared" si="6"/>
        <v>0</v>
      </c>
      <c r="K30" s="71">
        <v>15.5</v>
      </c>
      <c r="L30" s="86">
        <f t="shared" si="4"/>
        <v>3.2258064516129031E-2</v>
      </c>
      <c r="M30" s="71">
        <v>-0.5</v>
      </c>
      <c r="N30" s="71">
        <v>0.3</v>
      </c>
      <c r="O30" s="86">
        <f t="shared" si="2"/>
        <v>-1.6666666666666667</v>
      </c>
      <c r="P30" s="71"/>
      <c r="Q30" s="71"/>
      <c r="R30" s="71"/>
    </row>
    <row r="31" spans="1:20" ht="18" x14ac:dyDescent="0.25">
      <c r="A31" s="9" t="s">
        <v>75</v>
      </c>
      <c r="B31" s="30">
        <v>1140205310</v>
      </c>
      <c r="C31" s="71"/>
      <c r="D31" s="71"/>
      <c r="E31" s="71">
        <f t="shared" si="19"/>
        <v>0</v>
      </c>
      <c r="F31" s="71"/>
      <c r="G31" s="71"/>
      <c r="H31" s="72">
        <f t="shared" si="20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4"/>
        <v>0</v>
      </c>
      <c r="M31" s="71"/>
      <c r="N31" s="71"/>
      <c r="O31" s="86">
        <f t="shared" si="2"/>
        <v>0</v>
      </c>
      <c r="P31" s="71"/>
      <c r="Q31" s="71"/>
      <c r="R31" s="71"/>
    </row>
    <row r="32" spans="1:20" ht="18" x14ac:dyDescent="0.25">
      <c r="A32" s="9" t="s">
        <v>76</v>
      </c>
      <c r="B32" s="30">
        <v>1140601410</v>
      </c>
      <c r="C32" s="71"/>
      <c r="D32" s="71"/>
      <c r="E32" s="71">
        <f t="shared" si="19"/>
        <v>0</v>
      </c>
      <c r="F32" s="71"/>
      <c r="G32" s="71"/>
      <c r="H32" s="72">
        <f t="shared" si="20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4"/>
        <v>0</v>
      </c>
      <c r="M32" s="71"/>
      <c r="N32" s="71"/>
      <c r="O32" s="86">
        <f t="shared" si="2"/>
        <v>0</v>
      </c>
      <c r="P32" s="71"/>
      <c r="Q32" s="71"/>
      <c r="R32" s="71"/>
    </row>
    <row r="33" spans="1:19" ht="18" x14ac:dyDescent="0.25">
      <c r="A33" s="9" t="s">
        <v>79</v>
      </c>
      <c r="B33" s="30">
        <v>1169005010</v>
      </c>
      <c r="C33" s="71"/>
      <c r="D33" s="71"/>
      <c r="E33" s="71">
        <f t="shared" si="19"/>
        <v>0</v>
      </c>
      <c r="F33" s="71"/>
      <c r="G33" s="71"/>
      <c r="H33" s="72">
        <f t="shared" si="20"/>
        <v>0</v>
      </c>
      <c r="I33" s="86">
        <f>IF(E33&gt;0,H33/E33,0)</f>
        <v>0</v>
      </c>
      <c r="J33" s="86">
        <f>IF(F33&gt;0,H33/F33,0)</f>
        <v>0</v>
      </c>
      <c r="K33" s="71"/>
      <c r="L33" s="86">
        <f t="shared" si="4"/>
        <v>0</v>
      </c>
      <c r="M33" s="71"/>
      <c r="N33" s="71"/>
      <c r="O33" s="86">
        <f t="shared" si="2"/>
        <v>0</v>
      </c>
      <c r="P33" s="71"/>
      <c r="Q33" s="71"/>
      <c r="R33" s="71"/>
    </row>
    <row r="34" spans="1:19" ht="18" x14ac:dyDescent="0.25">
      <c r="A34" s="9" t="s">
        <v>69</v>
      </c>
      <c r="B34" s="30">
        <v>1170000000</v>
      </c>
      <c r="C34" s="71">
        <f>SUM(C35:C37)</f>
        <v>218</v>
      </c>
      <c r="D34" s="71">
        <f t="shared" ref="D34:H34" si="21">SUM(D35:D37)</f>
        <v>0</v>
      </c>
      <c r="E34" s="71">
        <f t="shared" si="21"/>
        <v>218</v>
      </c>
      <c r="F34" s="71">
        <f t="shared" si="21"/>
        <v>0</v>
      </c>
      <c r="G34" s="71">
        <f t="shared" si="21"/>
        <v>179.6</v>
      </c>
      <c r="H34" s="71">
        <f t="shared" si="21"/>
        <v>179.6</v>
      </c>
      <c r="I34" s="86">
        <f>IF(E34&gt;0,H34/E34,0)</f>
        <v>0.8238532110091743</v>
      </c>
      <c r="J34" s="86">
        <f>IF(F34&gt;0,H34/F34,0)</f>
        <v>0</v>
      </c>
      <c r="K34" s="71">
        <f t="shared" ref="K34" si="22">SUM(K35:K37)</f>
        <v>80.099999999999994</v>
      </c>
      <c r="L34" s="86">
        <f t="shared" si="4"/>
        <v>2.2421972534332086</v>
      </c>
      <c r="M34" s="71">
        <f t="shared" ref="M34:N34" si="23">SUM(M35:M37)</f>
        <v>0</v>
      </c>
      <c r="N34" s="71">
        <f t="shared" si="23"/>
        <v>0</v>
      </c>
      <c r="O34" s="86">
        <f t="shared" si="2"/>
        <v>0</v>
      </c>
      <c r="P34" s="71">
        <f t="shared" ref="P34:R34" si="24">SUM(P35:P36)</f>
        <v>0</v>
      </c>
      <c r="Q34" s="71">
        <f t="shared" si="24"/>
        <v>0</v>
      </c>
      <c r="R34" s="71">
        <f t="shared" si="24"/>
        <v>0</v>
      </c>
    </row>
    <row r="35" spans="1:19" ht="18" x14ac:dyDescent="0.25">
      <c r="A35" s="13" t="s">
        <v>8</v>
      </c>
      <c r="B35" s="13">
        <v>1170103003</v>
      </c>
      <c r="C35" s="70"/>
      <c r="D35" s="70"/>
      <c r="E35" s="70">
        <f>C35+D35</f>
        <v>0</v>
      </c>
      <c r="F35" s="70"/>
      <c r="G35" s="70"/>
      <c r="H35" s="67">
        <f>G35+M35</f>
        <v>0</v>
      </c>
      <c r="I35" s="76">
        <f t="shared" si="1"/>
        <v>0</v>
      </c>
      <c r="J35" s="76">
        <f t="shared" si="6"/>
        <v>0</v>
      </c>
      <c r="K35" s="70"/>
      <c r="L35" s="76">
        <f t="shared" si="4"/>
        <v>0</v>
      </c>
      <c r="M35" s="70"/>
      <c r="N35" s="70"/>
      <c r="O35" s="76">
        <f t="shared" ref="O35:O42" si="25">IF(N35&gt;0,M35/N35,0)</f>
        <v>0</v>
      </c>
      <c r="P35" s="76"/>
      <c r="Q35" s="76"/>
      <c r="R35" s="76"/>
    </row>
    <row r="36" spans="1:19" ht="18" x14ac:dyDescent="0.25">
      <c r="A36" s="13" t="s">
        <v>33</v>
      </c>
      <c r="B36" s="13">
        <v>1170505010</v>
      </c>
      <c r="C36" s="70"/>
      <c r="D36" s="81"/>
      <c r="E36" s="70">
        <f>C36+D36</f>
        <v>0</v>
      </c>
      <c r="F36" s="70"/>
      <c r="G36" s="70"/>
      <c r="H36" s="67">
        <f>G36+M36</f>
        <v>0</v>
      </c>
      <c r="I36" s="76">
        <f>IF(E36&gt;0,H36/E36,0)</f>
        <v>0</v>
      </c>
      <c r="J36" s="76">
        <f>IF(F36&gt;0,H36/F36,0)</f>
        <v>0</v>
      </c>
      <c r="K36" s="70">
        <v>0.1</v>
      </c>
      <c r="L36" s="76">
        <f>IF(K36&gt;0,H36/K36,0)</f>
        <v>0</v>
      </c>
      <c r="M36" s="70"/>
      <c r="N36" s="70"/>
      <c r="O36" s="76">
        <f t="shared" si="25"/>
        <v>0</v>
      </c>
      <c r="P36" s="70"/>
      <c r="Q36" s="70"/>
      <c r="R36" s="70"/>
    </row>
    <row r="37" spans="1:19" ht="18.75" x14ac:dyDescent="0.3">
      <c r="A37" s="165" t="s">
        <v>114</v>
      </c>
      <c r="B37" s="165">
        <v>1171503010</v>
      </c>
      <c r="C37" s="70">
        <v>218</v>
      </c>
      <c r="D37" s="81"/>
      <c r="E37" s="70">
        <f>C37+D37</f>
        <v>218</v>
      </c>
      <c r="F37" s="70"/>
      <c r="G37" s="70">
        <v>179.6</v>
      </c>
      <c r="H37" s="67">
        <f>G37+M37</f>
        <v>179.6</v>
      </c>
      <c r="I37" s="76">
        <f>IF(E37&gt;0,H37/E37,0)</f>
        <v>0.8238532110091743</v>
      </c>
      <c r="J37" s="76"/>
      <c r="K37" s="70">
        <v>80</v>
      </c>
      <c r="L37" s="76">
        <f>IF(K37&gt;0,H37/K37,0)</f>
        <v>2.2450000000000001</v>
      </c>
      <c r="M37" s="70"/>
      <c r="N37" s="70"/>
      <c r="O37" s="76">
        <f t="shared" si="25"/>
        <v>0</v>
      </c>
      <c r="P37" s="70"/>
      <c r="Q37" s="70"/>
      <c r="R37" s="70"/>
    </row>
    <row r="38" spans="1:19" ht="18" x14ac:dyDescent="0.25">
      <c r="A38" s="9" t="s">
        <v>6</v>
      </c>
      <c r="B38" s="9">
        <v>1000000000</v>
      </c>
      <c r="C38" s="77">
        <f t="shared" ref="C38:H38" si="26">C5+C25</f>
        <v>1484.2</v>
      </c>
      <c r="D38" s="77">
        <f t="shared" si="26"/>
        <v>82.707000000000008</v>
      </c>
      <c r="E38" s="77">
        <f t="shared" si="26"/>
        <v>1566.9070000000002</v>
      </c>
      <c r="F38" s="78">
        <f t="shared" si="26"/>
        <v>0</v>
      </c>
      <c r="G38" s="78">
        <f>G5+G25</f>
        <v>1046.7</v>
      </c>
      <c r="H38" s="78">
        <f t="shared" si="26"/>
        <v>1084.0999999999999</v>
      </c>
      <c r="I38" s="90">
        <f t="shared" si="1"/>
        <v>0.69187258720523925</v>
      </c>
      <c r="J38" s="90">
        <f t="shared" si="6"/>
        <v>0</v>
      </c>
      <c r="K38" s="78">
        <f>K5+K25</f>
        <v>1003.3</v>
      </c>
      <c r="L38" s="90">
        <f t="shared" si="4"/>
        <v>1.080534237017841</v>
      </c>
      <c r="M38" s="78">
        <f>M5+M25</f>
        <v>37.400000000000006</v>
      </c>
      <c r="N38" s="78">
        <f>N5+N25</f>
        <v>92.9</v>
      </c>
      <c r="O38" s="90">
        <f t="shared" si="25"/>
        <v>0.40258342303552208</v>
      </c>
      <c r="P38" s="78">
        <f>P5+P25</f>
        <v>37.1</v>
      </c>
      <c r="Q38" s="78">
        <f>Q5+Q25</f>
        <v>34.5</v>
      </c>
      <c r="R38" s="78">
        <f>R5+R25</f>
        <v>33.700000000000003</v>
      </c>
      <c r="S38" s="157"/>
    </row>
    <row r="39" spans="1:19" ht="18" x14ac:dyDescent="0.25">
      <c r="A39" s="9" t="s">
        <v>92</v>
      </c>
      <c r="B39" s="9"/>
      <c r="C39" s="78">
        <f t="shared" ref="C39:H39" si="27">C38-C11</f>
        <v>576</v>
      </c>
      <c r="D39" s="87">
        <f t="shared" si="27"/>
        <v>82.707000000000008</v>
      </c>
      <c r="E39" s="78">
        <f t="shared" si="27"/>
        <v>658.70700000000011</v>
      </c>
      <c r="F39" s="78">
        <f t="shared" si="27"/>
        <v>0</v>
      </c>
      <c r="G39" s="78">
        <f>G38-G11</f>
        <v>405.1</v>
      </c>
      <c r="H39" s="78">
        <f t="shared" si="27"/>
        <v>434.69999999999993</v>
      </c>
      <c r="I39" s="90">
        <f>IF(E39&gt;0,H39/E39,0)</f>
        <v>0.65992922498166839</v>
      </c>
      <c r="J39" s="90">
        <f>IF(F39&gt;0,H39/F39,0)</f>
        <v>0</v>
      </c>
      <c r="K39" s="78">
        <f>K38-K11</f>
        <v>336.19999999999993</v>
      </c>
      <c r="L39" s="90">
        <f t="shared" si="4"/>
        <v>1.2929803688280785</v>
      </c>
      <c r="M39" s="78">
        <f>M38-M11</f>
        <v>29.600000000000005</v>
      </c>
      <c r="N39" s="78">
        <f>N38-N11</f>
        <v>15.299999999999997</v>
      </c>
      <c r="O39" s="90">
        <f t="shared" si="25"/>
        <v>1.9346405228758177</v>
      </c>
      <c r="P39" s="78"/>
      <c r="Q39" s="78"/>
      <c r="R39" s="78"/>
    </row>
    <row r="40" spans="1:19" ht="18" x14ac:dyDescent="0.25">
      <c r="A40" s="13" t="s">
        <v>36</v>
      </c>
      <c r="B40" s="13">
        <v>2000000000</v>
      </c>
      <c r="C40" s="70">
        <v>4740.7</v>
      </c>
      <c r="D40" s="82">
        <f>1928.019+282.3</f>
        <v>2210.319</v>
      </c>
      <c r="E40" s="82">
        <f>C40+D40</f>
        <v>6951.0190000000002</v>
      </c>
      <c r="F40" s="70"/>
      <c r="G40" s="70">
        <v>3371.6</v>
      </c>
      <c r="H40" s="81">
        <f>G40+M40</f>
        <v>3697.2</v>
      </c>
      <c r="I40" s="76">
        <f t="shared" si="1"/>
        <v>0.53189323752387951</v>
      </c>
      <c r="J40" s="76">
        <f t="shared" si="6"/>
        <v>0</v>
      </c>
      <c r="K40" s="70">
        <v>3146.4</v>
      </c>
      <c r="L40" s="76">
        <f t="shared" si="4"/>
        <v>1.1750572082379862</v>
      </c>
      <c r="M40" s="70">
        <v>325.60000000000002</v>
      </c>
      <c r="N40" s="70">
        <v>287.2</v>
      </c>
      <c r="O40" s="76">
        <f t="shared" si="25"/>
        <v>1.1337047353760448</v>
      </c>
      <c r="P40" s="70"/>
      <c r="Q40" s="70"/>
      <c r="R40" s="70"/>
      <c r="S40" s="134"/>
    </row>
    <row r="41" spans="1:19" ht="18" x14ac:dyDescent="0.25">
      <c r="A41" s="13" t="s">
        <v>46</v>
      </c>
      <c r="B41" s="34" t="s">
        <v>37</v>
      </c>
      <c r="C41" s="70"/>
      <c r="D41" s="82"/>
      <c r="E41" s="70">
        <f>C41+D41</f>
        <v>0</v>
      </c>
      <c r="F41" s="70"/>
      <c r="G41" s="70"/>
      <c r="H41" s="67">
        <f>G41+M41</f>
        <v>0</v>
      </c>
      <c r="I41" s="76">
        <f>IF(E41&gt;0,H41/E41,0)</f>
        <v>0</v>
      </c>
      <c r="J41" s="76">
        <f>IF(F41&gt;0,H41/F41,0)</f>
        <v>0</v>
      </c>
      <c r="K41" s="70"/>
      <c r="L41" s="76">
        <f t="shared" si="4"/>
        <v>0</v>
      </c>
      <c r="M41" s="70"/>
      <c r="N41" s="70"/>
      <c r="O41" s="76">
        <f t="shared" si="25"/>
        <v>0</v>
      </c>
      <c r="P41" s="70"/>
      <c r="Q41" s="70"/>
      <c r="R41" s="70"/>
    </row>
    <row r="42" spans="1:19" ht="18" x14ac:dyDescent="0.25">
      <c r="A42" s="9" t="s">
        <v>2</v>
      </c>
      <c r="B42" s="9">
        <v>0</v>
      </c>
      <c r="C42" s="77">
        <f t="shared" ref="C42:H42" si="28">C38+C40+C41</f>
        <v>6224.9</v>
      </c>
      <c r="D42" s="77">
        <f t="shared" si="28"/>
        <v>2293.0259999999998</v>
      </c>
      <c r="E42" s="77">
        <f t="shared" si="28"/>
        <v>8517.9259999999995</v>
      </c>
      <c r="F42" s="78">
        <f t="shared" si="28"/>
        <v>0</v>
      </c>
      <c r="G42" s="78">
        <f t="shared" si="28"/>
        <v>4418.3</v>
      </c>
      <c r="H42" s="78">
        <f t="shared" si="28"/>
        <v>4781.2999999999993</v>
      </c>
      <c r="I42" s="90">
        <f t="shared" si="1"/>
        <v>0.56132208709021414</v>
      </c>
      <c r="J42" s="90"/>
      <c r="K42" s="78">
        <f>K38+K40+K41</f>
        <v>4149.7</v>
      </c>
      <c r="L42" s="90">
        <f t="shared" si="4"/>
        <v>1.1522037737667783</v>
      </c>
      <c r="M42" s="78">
        <f>M38+M40+M41</f>
        <v>363</v>
      </c>
      <c r="N42" s="78">
        <f>N38+N40+N41</f>
        <v>380.1</v>
      </c>
      <c r="O42" s="90">
        <f t="shared" si="25"/>
        <v>0.95501183898973951</v>
      </c>
      <c r="P42" s="78">
        <f>P38+P40+P41</f>
        <v>37.1</v>
      </c>
      <c r="Q42" s="78">
        <f>Q38+Q40+Q41</f>
        <v>34.5</v>
      </c>
      <c r="R42" s="78">
        <f>R38+R40+R41</f>
        <v>33.700000000000003</v>
      </c>
    </row>
    <row r="43" spans="1:19" ht="18" customHeight="1" x14ac:dyDescent="0.25">
      <c r="G43" s="5"/>
      <c r="I43" s="141"/>
    </row>
    <row r="44" spans="1:19" x14ac:dyDescent="0.2">
      <c r="G44" s="6"/>
    </row>
  </sheetData>
  <mergeCells count="15">
    <mergeCell ref="C1:M1"/>
    <mergeCell ref="B2:R2"/>
    <mergeCell ref="G3:G4"/>
    <mergeCell ref="K3:L3"/>
    <mergeCell ref="H3:J3"/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</mergeCells>
  <phoneticPr fontId="0" type="noConversion"/>
  <pageMargins left="0.75" right="0.75" top="1" bottom="1" header="0.5" footer="0.5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87"/>
  <sheetViews>
    <sheetView tabSelected="1" zoomScaleNormal="100" workbookViewId="0">
      <pane xSplit="2" ySplit="6" topLeftCell="G7" activePane="bottomRight" state="frozen"/>
      <selection pane="topRight" activeCell="C1" sqref="C1"/>
      <selection pane="bottomLeft" activeCell="A15" sqref="A15"/>
      <selection pane="bottomRight" activeCell="R26" sqref="R26"/>
    </sheetView>
  </sheetViews>
  <sheetFormatPr defaultRowHeight="12.75" x14ac:dyDescent="0.2"/>
  <cols>
    <col min="1" max="1" width="40.5703125" customWidth="1"/>
    <col min="2" max="2" width="15.42578125" customWidth="1"/>
    <col min="3" max="3" width="16.85546875" customWidth="1"/>
    <col min="4" max="4" width="16.42578125" customWidth="1"/>
    <col min="5" max="5" width="16.5703125" customWidth="1"/>
    <col min="6" max="6" width="11.28515625" hidden="1" customWidth="1"/>
    <col min="7" max="7" width="13.7109375" customWidth="1"/>
    <col min="8" max="8" width="14.85546875" customWidth="1"/>
    <col min="9" max="9" width="12.28515625" customWidth="1"/>
    <col min="10" max="10" width="11.7109375" hidden="1" customWidth="1"/>
    <col min="11" max="11" width="14.5703125" customWidth="1"/>
    <col min="12" max="12" width="16" customWidth="1"/>
    <col min="13" max="13" width="13.7109375" customWidth="1"/>
    <col min="14" max="14" width="13.5703125" customWidth="1"/>
    <col min="15" max="15" width="15.28515625" customWidth="1"/>
    <col min="16" max="16" width="10.5703125" customWidth="1"/>
    <col min="17" max="17" width="13" customWidth="1"/>
    <col min="18" max="18" width="11.7109375" customWidth="1"/>
    <col min="19" max="19" width="14" customWidth="1"/>
  </cols>
  <sheetData>
    <row r="1" spans="1:19" ht="21" customHeight="1" x14ac:dyDescent="0.35">
      <c r="A1" s="254" t="s">
        <v>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</row>
    <row r="2" spans="1:19" ht="16.5" customHeight="1" x14ac:dyDescent="0.25">
      <c r="A2" s="255" t="s">
        <v>143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9" ht="15.75" customHeight="1" x14ac:dyDescent="0.2">
      <c r="A3" s="257" t="s">
        <v>3</v>
      </c>
      <c r="B3" s="257" t="s">
        <v>4</v>
      </c>
      <c r="C3" s="256" t="s">
        <v>124</v>
      </c>
      <c r="D3" s="256" t="s">
        <v>24</v>
      </c>
      <c r="E3" s="256" t="s">
        <v>125</v>
      </c>
      <c r="F3" s="256" t="s">
        <v>99</v>
      </c>
      <c r="G3" s="256" t="s">
        <v>128</v>
      </c>
      <c r="H3" s="256" t="s">
        <v>123</v>
      </c>
      <c r="I3" s="256"/>
      <c r="J3" s="256"/>
      <c r="K3" s="256" t="s">
        <v>117</v>
      </c>
      <c r="L3" s="256"/>
      <c r="M3" s="256" t="s">
        <v>131</v>
      </c>
      <c r="N3" s="256" t="s">
        <v>132</v>
      </c>
      <c r="O3" s="256" t="s">
        <v>30</v>
      </c>
      <c r="P3" s="256" t="s">
        <v>9</v>
      </c>
      <c r="Q3" s="256"/>
      <c r="R3" s="256"/>
    </row>
    <row r="4" spans="1:19" ht="99" customHeight="1" x14ac:dyDescent="0.2">
      <c r="A4" s="258"/>
      <c r="B4" s="258"/>
      <c r="C4" s="256"/>
      <c r="D4" s="256"/>
      <c r="E4" s="256"/>
      <c r="F4" s="256"/>
      <c r="G4" s="256"/>
      <c r="H4" s="200" t="s">
        <v>133</v>
      </c>
      <c r="I4" s="175" t="s">
        <v>10</v>
      </c>
      <c r="J4" s="175" t="s">
        <v>29</v>
      </c>
      <c r="K4" s="200" t="s">
        <v>133</v>
      </c>
      <c r="L4" s="175" t="s">
        <v>30</v>
      </c>
      <c r="M4" s="256"/>
      <c r="N4" s="256"/>
      <c r="O4" s="256"/>
      <c r="P4" s="123" t="s">
        <v>122</v>
      </c>
      <c r="Q4" s="123" t="s">
        <v>129</v>
      </c>
      <c r="R4" s="123" t="s">
        <v>134</v>
      </c>
    </row>
    <row r="5" spans="1:19" ht="18" x14ac:dyDescent="0.25">
      <c r="A5" s="7" t="s">
        <v>21</v>
      </c>
      <c r="B5" s="17"/>
      <c r="C5" s="93">
        <f t="shared" ref="C5:H5" si="0">C6+C12+C17+C23+C27+C28</f>
        <v>93924</v>
      </c>
      <c r="D5" s="93">
        <f t="shared" si="0"/>
        <v>320</v>
      </c>
      <c r="E5" s="122">
        <f t="shared" si="0"/>
        <v>94244</v>
      </c>
      <c r="F5" s="93">
        <f t="shared" si="0"/>
        <v>23522.7</v>
      </c>
      <c r="G5" s="93">
        <f t="shared" si="0"/>
        <v>80601.2</v>
      </c>
      <c r="H5" s="119">
        <f t="shared" si="0"/>
        <v>83917.2</v>
      </c>
      <c r="I5" s="94">
        <f>IF(E5&gt;0,H5/E5,0)</f>
        <v>0.89042485463265564</v>
      </c>
      <c r="J5" s="94">
        <f>IF(F5&gt;0,H5/F5,0)</f>
        <v>3.5674986289839175</v>
      </c>
      <c r="K5" s="93">
        <f>K6+K12+K17+K23+K27+K28</f>
        <v>67550.5</v>
      </c>
      <c r="L5" s="94">
        <f>IF(K5&gt;0,H5/K5,0)</f>
        <v>1.2422883620402514</v>
      </c>
      <c r="M5" s="119">
        <f>M6+M12+M17+M23+M27+M28</f>
        <v>3316</v>
      </c>
      <c r="N5" s="93">
        <f>N6+N12+N17+N23+N27+N28</f>
        <v>3797.9000000000005</v>
      </c>
      <c r="O5" s="94">
        <f>IF(N5&gt;0,M5/N5,0)</f>
        <v>0.87311408936517532</v>
      </c>
      <c r="P5" s="119">
        <f>P6+P12+P17+P23+P27+P28</f>
        <v>4150.2</v>
      </c>
      <c r="Q5" s="93">
        <f>Q6+Q12+Q17+Q23+Q27+Q28</f>
        <v>3166.8999999999996</v>
      </c>
      <c r="R5" s="93">
        <f>R6+R12+R17+R23+R27+R28</f>
        <v>2951.6</v>
      </c>
    </row>
    <row r="6" spans="1:19" ht="18" x14ac:dyDescent="0.25">
      <c r="A6" s="9" t="s">
        <v>63</v>
      </c>
      <c r="B6" s="18">
        <v>1010200001</v>
      </c>
      <c r="C6" s="95">
        <f>C7+C8+C9+C10+C11</f>
        <v>29633</v>
      </c>
      <c r="D6" s="95">
        <f>D7+D8+D9+D10+D11</f>
        <v>0</v>
      </c>
      <c r="E6" s="95">
        <f>E7+E8+E9+E10+E11</f>
        <v>29633</v>
      </c>
      <c r="F6" s="95">
        <f t="shared" ref="F6" si="1">F7+F8+F9+F10</f>
        <v>9897.8000000000011</v>
      </c>
      <c r="G6" s="95">
        <f>G7+G8+G9+G10+G11</f>
        <v>21072.100000000002</v>
      </c>
      <c r="H6" s="95">
        <f>H7+H8+H9+H10+H11</f>
        <v>23707.000000000004</v>
      </c>
      <c r="I6" s="96">
        <f t="shared" ref="I6:I55" si="2">IF(E6&gt;0,H6/E6,0)</f>
        <v>0.80002024769682456</v>
      </c>
      <c r="J6" s="96">
        <f t="shared" ref="J6:J55" si="3">IF(F6&gt;0,H6/F6,0)</f>
        <v>2.3951787265857059</v>
      </c>
      <c r="K6" s="95">
        <f>K7+K8+K9+K10+K11</f>
        <v>19760.899999999998</v>
      </c>
      <c r="L6" s="96">
        <f t="shared" ref="L6:L55" si="4">IF(K6&gt;0,H6/K6,0)</f>
        <v>1.1996923217059954</v>
      </c>
      <c r="M6" s="95">
        <f>M7+M8+M9+M10+M11</f>
        <v>2634.9</v>
      </c>
      <c r="N6" s="95">
        <f>N7+N8+N9+N10+N11</f>
        <v>2201.0000000000005</v>
      </c>
      <c r="O6" s="96">
        <f t="shared" ref="O6:O55" si="5">IF(N6&gt;0,M6/N6,0)</f>
        <v>1.1971376646978644</v>
      </c>
      <c r="P6" s="95">
        <f>P7+P8+P9+P10+P11</f>
        <v>614.59999999999991</v>
      </c>
      <c r="Q6" s="95">
        <f t="shared" ref="Q6:R6" si="6">Q7+Q8+Q9+Q10+Q11</f>
        <v>518.6</v>
      </c>
      <c r="R6" s="95">
        <f t="shared" si="6"/>
        <v>561.29999999999995</v>
      </c>
      <c r="S6" s="151"/>
    </row>
    <row r="7" spans="1:19" ht="18" customHeight="1" x14ac:dyDescent="0.25">
      <c r="A7" s="10" t="s">
        <v>40</v>
      </c>
      <c r="B7" s="166">
        <v>1010201001</v>
      </c>
      <c r="C7" s="97">
        <f>муниц!C6+'Лен '!C7+Высокор!C7+Гост!C7+Новотр!C7+Черн!C7</f>
        <v>29066</v>
      </c>
      <c r="D7" s="117">
        <f>муниц!D6+'Лен '!D7+Высокор!D7+Гост!D7+Новотр!D7+Черн!D7</f>
        <v>0</v>
      </c>
      <c r="E7" s="101">
        <f>C7+D7</f>
        <v>29066</v>
      </c>
      <c r="F7" s="97">
        <f>муниц!F6+'Лен '!F7+Высокор!F7+Гост!F7+Новотр!F7+Черн!F7</f>
        <v>9824.7000000000007</v>
      </c>
      <c r="G7" s="97">
        <f>муниц!G6+'Лен '!G7+Высокор!G7+Гост!G7+Новотр!G7+Черн!G7</f>
        <v>20585.800000000003</v>
      </c>
      <c r="H7" s="99">
        <f>G7+M7</f>
        <v>23199.300000000003</v>
      </c>
      <c r="I7" s="100">
        <f t="shared" si="2"/>
        <v>0.7981593614532444</v>
      </c>
      <c r="J7" s="100">
        <f t="shared" si="3"/>
        <v>2.3613240098934321</v>
      </c>
      <c r="K7" s="97">
        <f>муниц!K6+'Лен '!K7+Высокор!K7+Гост!K7+Новотр!K7+Черн!K7</f>
        <v>19262.099999999999</v>
      </c>
      <c r="L7" s="100">
        <f t="shared" si="4"/>
        <v>1.2044013892566234</v>
      </c>
      <c r="M7" s="97">
        <f>муниц!M6+'Лен '!M7+Высокор!M7+Гост!M7+Новотр!M7+Черн!M7</f>
        <v>2613.5</v>
      </c>
      <c r="N7" s="97">
        <f>муниц!N6+'Лен '!N7+Высокор!N7+Гост!N7+Новотр!N7+Черн!N7</f>
        <v>2155.0000000000005</v>
      </c>
      <c r="O7" s="100">
        <f t="shared" si="5"/>
        <v>1.2127610208816704</v>
      </c>
      <c r="P7" s="97">
        <f>муниц!P6+'Лен '!P7+Высокор!P7+Гост!P7+Новотр!P7+Черн!P7</f>
        <v>412.9</v>
      </c>
      <c r="Q7" s="97">
        <f>муниц!Q6+'Лен '!Q7+Высокор!Q7+Гост!Q7+Новотр!Q7+Черн!Q7</f>
        <v>326.40000000000003</v>
      </c>
      <c r="R7" s="97">
        <f>муниц!R6+'Лен '!R7+Высокор!R7+Гост!R7+Новотр!R7+Черн!R7</f>
        <v>290.49999999999994</v>
      </c>
      <c r="S7" s="26"/>
    </row>
    <row r="8" spans="1:19" ht="18.75" customHeight="1" x14ac:dyDescent="0.25">
      <c r="A8" s="10" t="s">
        <v>41</v>
      </c>
      <c r="B8" s="166">
        <v>1010202001</v>
      </c>
      <c r="C8" s="97">
        <f>муниц!C7+'Лен '!C8+Высокор!C8+Гост!C8+Новотр!C8+Черн!C8</f>
        <v>171</v>
      </c>
      <c r="D8" s="97">
        <f>муниц!D7+'Лен '!D8+Высокор!D8+Гост!D8+Новотр!D8+Черн!D8</f>
        <v>0</v>
      </c>
      <c r="E8" s="101">
        <f>C8+D8</f>
        <v>171</v>
      </c>
      <c r="F8" s="97">
        <f>муниц!F7+'Лен '!F8+Высокор!F8+Гост!F8+Новотр!F8+Черн!F8</f>
        <v>26.1</v>
      </c>
      <c r="G8" s="97">
        <f>муниц!G7+'Лен '!G8+Высокор!G8+Гост!G8+Новотр!G8+Черн!G8</f>
        <v>131.69999999999999</v>
      </c>
      <c r="H8" s="99">
        <f>G8+M8</f>
        <v>131.69999999999999</v>
      </c>
      <c r="I8" s="100">
        <f t="shared" si="2"/>
        <v>0.77017543859649118</v>
      </c>
      <c r="J8" s="100">
        <f t="shared" si="3"/>
        <v>5.0459770114942524</v>
      </c>
      <c r="K8" s="97">
        <f>муниц!K7+'Лен '!K8+Высокор!K8+Гост!K8+Новотр!K8+Черн!K8</f>
        <v>114.19999999999999</v>
      </c>
      <c r="L8" s="100">
        <f t="shared" si="4"/>
        <v>1.1532399299474607</v>
      </c>
      <c r="M8" s="97">
        <f>муниц!M7+'Лен '!M8+Высокор!M8+Гост!M8+Новотр!M8+Черн!M8</f>
        <v>0</v>
      </c>
      <c r="N8" s="97">
        <f>муниц!N7+'Лен '!N8+Высокор!N8+Гост!N8+Новотр!N8+Черн!N8</f>
        <v>0</v>
      </c>
      <c r="O8" s="100">
        <f t="shared" si="5"/>
        <v>0</v>
      </c>
      <c r="P8" s="97">
        <f>муниц!P7+'Лен '!P8+Высокор!P8+Гост!P8+Новотр!P8+Черн!P8</f>
        <v>0</v>
      </c>
      <c r="Q8" s="97">
        <f>муниц!Q7+'Лен '!Q8+Высокор!Q8+Гост!Q8+Новотр!Q8+Черн!Q8</f>
        <v>0</v>
      </c>
      <c r="R8" s="97">
        <f>муниц!R7+'Лен '!R8+Высокор!R8+Гост!R8+Новотр!R8+Черн!R8</f>
        <v>0</v>
      </c>
      <c r="S8" s="26"/>
    </row>
    <row r="9" spans="1:19" ht="17.25" customHeight="1" x14ac:dyDescent="0.25">
      <c r="A9" s="10" t="s">
        <v>42</v>
      </c>
      <c r="B9" s="166">
        <v>1010203001</v>
      </c>
      <c r="C9" s="97">
        <f>муниц!C8+'Лен '!C9+Высокор!C9+Гост!C9+Новотр!C9+Черн!C9</f>
        <v>396</v>
      </c>
      <c r="D9" s="97">
        <f>муниц!D8+'Лен '!D9+Высокор!D9+Гост!D9+Новотр!D9+Черн!D9</f>
        <v>0</v>
      </c>
      <c r="E9" s="98">
        <f>C9+D9</f>
        <v>396</v>
      </c>
      <c r="F9" s="97">
        <f>муниц!F8+'Лен '!F9+Высокор!F9+Гост!F9+Новотр!F9+Черн!F9</f>
        <v>47</v>
      </c>
      <c r="G9" s="97">
        <f>муниц!G8+'Лен '!G9+Высокор!G9+Гост!G9+Новотр!G9+Черн!G9</f>
        <v>224.50000000000003</v>
      </c>
      <c r="H9" s="99">
        <f>G9+M9</f>
        <v>240.80000000000004</v>
      </c>
      <c r="I9" s="100">
        <f t="shared" si="2"/>
        <v>0.60808080808080822</v>
      </c>
      <c r="J9" s="100">
        <f t="shared" si="3"/>
        <v>5.1234042553191497</v>
      </c>
      <c r="K9" s="97">
        <f>муниц!K8+'Лен '!K9+Высокор!K9+Гост!K9+Новотр!K9+Черн!K9</f>
        <v>379.49999999999994</v>
      </c>
      <c r="L9" s="100">
        <f t="shared" si="4"/>
        <v>0.63451910408432166</v>
      </c>
      <c r="M9" s="97">
        <f>муниц!M8+'Лен '!M9+Высокор!M9+Гост!M9+Новотр!M9+Черн!M9</f>
        <v>16.3</v>
      </c>
      <c r="N9" s="97">
        <f>муниц!N8+'Лен '!N9+Высокор!N9+Гост!N9+Новотр!N9+Черн!N9</f>
        <v>46</v>
      </c>
      <c r="O9" s="100">
        <f t="shared" si="5"/>
        <v>0.35434782608695653</v>
      </c>
      <c r="P9" s="97">
        <f>муниц!P8+'Лен '!P9+Высокор!P9+Гост!P9+Новотр!P9+Черн!P9</f>
        <v>184.7</v>
      </c>
      <c r="Q9" s="97">
        <f>муниц!Q8+'Лен '!Q9+Высокор!Q9+Гост!Q9+Новотр!Q9+Черн!Q9</f>
        <v>192.2</v>
      </c>
      <c r="R9" s="97">
        <f>муниц!R8+'Лен '!R9+Высокор!R9+Гост!R9+Новотр!R9+Черн!R9</f>
        <v>270.8</v>
      </c>
      <c r="S9" s="26"/>
    </row>
    <row r="10" spans="1:19" ht="19.5" customHeight="1" x14ac:dyDescent="0.25">
      <c r="A10" s="40" t="s">
        <v>118</v>
      </c>
      <c r="B10" s="166">
        <v>1010208001</v>
      </c>
      <c r="C10" s="97">
        <f>муниц!C9+'Лен '!C10</f>
        <v>0</v>
      </c>
      <c r="D10" s="97">
        <f>муниц!D9+'Лен '!D10</f>
        <v>0</v>
      </c>
      <c r="E10" s="98">
        <f>C10+D10</f>
        <v>0</v>
      </c>
      <c r="F10" s="97"/>
      <c r="G10" s="97">
        <f>муниц!G9+'Лен '!G10</f>
        <v>0</v>
      </c>
      <c r="H10" s="99">
        <f>G10+M10</f>
        <v>0</v>
      </c>
      <c r="I10" s="100">
        <f t="shared" ref="I10" si="7">IF(E10&gt;0,H10/E10,0)</f>
        <v>0</v>
      </c>
      <c r="J10" s="100"/>
      <c r="K10" s="97">
        <f>муниц!K9+'Лен '!K10</f>
        <v>4.8</v>
      </c>
      <c r="L10" s="100">
        <f t="shared" si="4"/>
        <v>0</v>
      </c>
      <c r="M10" s="97">
        <f>муниц!M9+'Лен '!M10</f>
        <v>0</v>
      </c>
      <c r="N10" s="97">
        <f>муниц!N9+'Лен '!N10</f>
        <v>0</v>
      </c>
      <c r="O10" s="100">
        <f t="shared" si="5"/>
        <v>0</v>
      </c>
      <c r="P10" s="97"/>
      <c r="Q10" s="97"/>
      <c r="R10" s="97"/>
      <c r="S10" s="26"/>
    </row>
    <row r="11" spans="1:19" ht="30.75" customHeight="1" x14ac:dyDescent="0.25">
      <c r="A11" s="40" t="s">
        <v>121</v>
      </c>
      <c r="B11" s="166">
        <v>1010213001</v>
      </c>
      <c r="C11" s="97">
        <f>муниц!C10+Черн!C10</f>
        <v>0</v>
      </c>
      <c r="D11" s="97">
        <f>муниц!D10+Черн!D10+'Лен '!D11</f>
        <v>0</v>
      </c>
      <c r="E11" s="98">
        <f>C11+D11</f>
        <v>0</v>
      </c>
      <c r="F11" s="97"/>
      <c r="G11" s="97">
        <f>муниц!G10+'Лен '!G11+Новотр!G10+Черн!G10</f>
        <v>130.1</v>
      </c>
      <c r="H11" s="99">
        <f>G11+M11</f>
        <v>135.19999999999999</v>
      </c>
      <c r="I11" s="100">
        <f t="shared" ref="I11" si="8">IF(E11&gt;0,H11/E11,0)</f>
        <v>0</v>
      </c>
      <c r="J11" s="100"/>
      <c r="K11" s="97">
        <f>муниц!K10+Черн!K10+'Лен '!K11</f>
        <v>0.30000000000000004</v>
      </c>
      <c r="L11" s="100">
        <f t="shared" si="4"/>
        <v>450.66666666666657</v>
      </c>
      <c r="M11" s="97">
        <f>муниц!M10+'Лен '!M11+Новотр!M10+Черн!M10</f>
        <v>5.0999999999999996</v>
      </c>
      <c r="N11" s="97">
        <f>муниц!N10+Черн!N10</f>
        <v>0</v>
      </c>
      <c r="O11" s="100">
        <f t="shared" si="5"/>
        <v>0</v>
      </c>
      <c r="P11" s="97">
        <f>муниц!P10+'Лен '!P11</f>
        <v>17</v>
      </c>
      <c r="Q11" s="97">
        <f>муниц!Q10+'Лен '!Q11</f>
        <v>0</v>
      </c>
      <c r="R11" s="97">
        <f>муниц!R10+'Лен '!R11</f>
        <v>0</v>
      </c>
      <c r="S11" s="26"/>
    </row>
    <row r="12" spans="1:19" ht="18" customHeight="1" x14ac:dyDescent="0.25">
      <c r="A12" s="11" t="s">
        <v>48</v>
      </c>
      <c r="B12" s="19">
        <v>1030200001</v>
      </c>
      <c r="C12" s="102">
        <f t="shared" ref="C12:H12" si="9">SUM(C13:C16)</f>
        <v>15592</v>
      </c>
      <c r="D12" s="102">
        <f t="shared" si="9"/>
        <v>320</v>
      </c>
      <c r="E12" s="102">
        <f t="shared" si="9"/>
        <v>15912</v>
      </c>
      <c r="F12" s="102">
        <f t="shared" si="9"/>
        <v>0</v>
      </c>
      <c r="G12" s="102">
        <f t="shared" si="9"/>
        <v>11015.4</v>
      </c>
      <c r="H12" s="102">
        <f t="shared" si="9"/>
        <v>11149.1</v>
      </c>
      <c r="I12" s="96">
        <f t="shared" si="2"/>
        <v>0.70067244846656618</v>
      </c>
      <c r="J12" s="96">
        <f t="shared" si="3"/>
        <v>0</v>
      </c>
      <c r="K12" s="102">
        <f>SUM(K13:K16)</f>
        <v>11218.8</v>
      </c>
      <c r="L12" s="96">
        <f t="shared" si="4"/>
        <v>0.99378721431882211</v>
      </c>
      <c r="M12" s="102">
        <f>SUM(M13:M16)</f>
        <v>133.70000000000002</v>
      </c>
      <c r="N12" s="102">
        <f>SUM(N13:N16)</f>
        <v>1305.5</v>
      </c>
      <c r="O12" s="96">
        <f t="shared" si="5"/>
        <v>0.10241286863270779</v>
      </c>
      <c r="P12" s="102">
        <f>SUM(P13:P16)</f>
        <v>0</v>
      </c>
      <c r="Q12" s="102">
        <f>SUM(Q13:Q16)</f>
        <v>0</v>
      </c>
      <c r="R12" s="102">
        <f>SUM(R13:R16)</f>
        <v>0</v>
      </c>
      <c r="S12" s="26"/>
    </row>
    <row r="13" spans="1:19" ht="18" x14ac:dyDescent="0.25">
      <c r="A13" s="12" t="s">
        <v>49</v>
      </c>
      <c r="B13" s="170">
        <v>1030223101</v>
      </c>
      <c r="C13" s="97">
        <f>муниц!C12+'Лен '!C13+Высокор!C11+Гост!C11+Новотр!C12+Черн!C12</f>
        <v>8131.9</v>
      </c>
      <c r="D13" s="97">
        <f>муниц!D12+'Лен '!D13+Высокор!D11+Гост!D11+Новотр!D12+Черн!D12</f>
        <v>120</v>
      </c>
      <c r="E13" s="98">
        <f>C13+D13</f>
        <v>8251.9</v>
      </c>
      <c r="F13" s="97">
        <f>муниц!F12+'Лен '!F13+Высокор!F11+Гост!F11+Новотр!F12+Черн!F12</f>
        <v>0</v>
      </c>
      <c r="G13" s="97">
        <f>муниц!G12+'Лен '!G13+Высокор!G11+Гост!G11+Новотр!G12+Черн!G12</f>
        <v>5661.2</v>
      </c>
      <c r="H13" s="99">
        <f>G13+M13</f>
        <v>5785</v>
      </c>
      <c r="I13" s="100">
        <f t="shared" si="2"/>
        <v>0.70105066711908781</v>
      </c>
      <c r="J13" s="100">
        <f t="shared" si="3"/>
        <v>0</v>
      </c>
      <c r="K13" s="97">
        <f>муниц!K12+'Лен '!K13+Высокор!K11+Гост!K11+Новотр!K12+Черн!K12</f>
        <v>5746.7</v>
      </c>
      <c r="L13" s="100">
        <f t="shared" si="4"/>
        <v>1.0066646945203335</v>
      </c>
      <c r="M13" s="97">
        <f>муниц!M12+'Лен '!M13+Высокор!M11+Гост!M11+Новотр!M12+Черн!M12</f>
        <v>123.80000000000001</v>
      </c>
      <c r="N13" s="97">
        <f>муниц!N12+'Лен '!N13+Высокор!N11+Гост!N11+Новотр!N12+Черн!N12</f>
        <v>659.6</v>
      </c>
      <c r="O13" s="100">
        <f t="shared" si="5"/>
        <v>0.187689508793208</v>
      </c>
      <c r="P13" s="97">
        <f>муниц!P12+'Лен '!P13+Высокор!P11+Гост!P11+Новотр!P12+Черн!P12</f>
        <v>0</v>
      </c>
      <c r="Q13" s="97">
        <f>муниц!Q12+'Лен '!Q13+Высокор!Q11+Гост!Q11+Новотр!Q12+Черн!Q12</f>
        <v>0</v>
      </c>
      <c r="R13" s="97">
        <f>муниц!R12+'Лен '!R13+Высокор!R11+Гост!R11+Новотр!R12+Черн!R12</f>
        <v>0</v>
      </c>
      <c r="S13" s="26"/>
    </row>
    <row r="14" spans="1:19" ht="18" x14ac:dyDescent="0.25">
      <c r="A14" s="12" t="s">
        <v>50</v>
      </c>
      <c r="B14" s="170">
        <v>1030224101</v>
      </c>
      <c r="C14" s="97">
        <f>муниц!C13+'Лен '!C14+Высокор!C12+Гост!C12+Новотр!C13+Черн!C13</f>
        <v>38.9</v>
      </c>
      <c r="D14" s="97">
        <f>муниц!D13+'Лен '!D14+Высокор!D12+Гост!D12+Новотр!D13+Черн!D13</f>
        <v>0</v>
      </c>
      <c r="E14" s="98">
        <f>C14+D14</f>
        <v>38.9</v>
      </c>
      <c r="F14" s="97">
        <f>муниц!F13+'Лен '!F14+Высокор!F12+Гост!F12+Новотр!F13+Черн!F13</f>
        <v>0</v>
      </c>
      <c r="G14" s="97">
        <f>муниц!G13+'Лен '!G14+Высокор!G12+Гост!G12+Новотр!G13+Черн!G13</f>
        <v>33.5</v>
      </c>
      <c r="H14" s="99">
        <f>G14+M14</f>
        <v>33.299999999999997</v>
      </c>
      <c r="I14" s="100">
        <f t="shared" si="2"/>
        <v>0.85604113110539837</v>
      </c>
      <c r="J14" s="100">
        <f t="shared" si="3"/>
        <v>0</v>
      </c>
      <c r="K14" s="97">
        <f>муниц!K13+'Лен '!K14+Высокор!K12+Гост!K12+Новотр!K13+Черн!K13</f>
        <v>30.799999999999997</v>
      </c>
      <c r="L14" s="100">
        <f t="shared" si="4"/>
        <v>1.0811688311688312</v>
      </c>
      <c r="M14" s="97">
        <f>муниц!M13+'Лен '!M14+Высокор!M12+Гост!M12+Новотр!M13+Черн!M13</f>
        <v>-0.2</v>
      </c>
      <c r="N14" s="97">
        <f>муниц!N13+'Лен '!N14+Высокор!N12+Гост!N12+Новотр!N13+Черн!N13</f>
        <v>4.0000000000000009</v>
      </c>
      <c r="O14" s="100">
        <f t="shared" si="5"/>
        <v>-4.9999999999999989E-2</v>
      </c>
      <c r="P14" s="97">
        <f>муниц!P13+'Лен '!P14+Высокор!P12+Гост!P12+Новотр!P13+Черн!P13</f>
        <v>0</v>
      </c>
      <c r="Q14" s="97">
        <f>муниц!Q13+'Лен '!Q14+Высокор!Q12+Гост!Q12+Новотр!Q13+Черн!Q13</f>
        <v>0</v>
      </c>
      <c r="R14" s="97">
        <f>муниц!R13+'Лен '!R14+Высокор!R12+Гост!R12+Новотр!R13+Черн!R13</f>
        <v>0</v>
      </c>
      <c r="S14" s="26"/>
    </row>
    <row r="15" spans="1:19" ht="18" customHeight="1" x14ac:dyDescent="0.25">
      <c r="A15" s="12" t="s">
        <v>51</v>
      </c>
      <c r="B15" s="170">
        <v>1030225101</v>
      </c>
      <c r="C15" s="97">
        <f>муниц!C14+'Лен '!C15+Высокор!C13+Гост!C13+Новотр!C14+Черн!C14</f>
        <v>8431.7000000000007</v>
      </c>
      <c r="D15" s="97">
        <f>муниц!D14+'Лен '!D15+Высокор!D13+Гост!D13+Новотр!D14+Черн!D14</f>
        <v>200</v>
      </c>
      <c r="E15" s="98">
        <f>C15+D15</f>
        <v>8631.7000000000007</v>
      </c>
      <c r="F15" s="97">
        <f>муниц!F14+'Лен '!F15+Высокор!F13+Гост!F13+Новотр!F14+Черн!F14</f>
        <v>0</v>
      </c>
      <c r="G15" s="97">
        <f>муниц!G14+'Лен '!G15+Высокор!G13+Гост!G13+Новотр!G14+Черн!G14</f>
        <v>5964.3</v>
      </c>
      <c r="H15" s="99">
        <f>G15+M15</f>
        <v>6077.4000000000005</v>
      </c>
      <c r="I15" s="100">
        <f t="shared" si="2"/>
        <v>0.70407915010948019</v>
      </c>
      <c r="J15" s="100">
        <f t="shared" si="3"/>
        <v>0</v>
      </c>
      <c r="K15" s="97">
        <f>муниц!K14+'Лен '!K15+Высокор!K13+Гост!K13+Новотр!K14+Черн!K14</f>
        <v>6115.3</v>
      </c>
      <c r="L15" s="100">
        <f t="shared" si="4"/>
        <v>0.99380242997072921</v>
      </c>
      <c r="M15" s="97">
        <f>муниц!M14+'Лен '!M15+Высокор!M13+Гост!M13+Новотр!M14+Черн!M14</f>
        <v>113.10000000000001</v>
      </c>
      <c r="N15" s="97">
        <f>муниц!N14+'Лен '!N15+Высокор!N13+Гост!N13+Новотр!N14+Черн!N14</f>
        <v>720.1</v>
      </c>
      <c r="O15" s="100">
        <f t="shared" si="5"/>
        <v>0.15706151923343981</v>
      </c>
      <c r="P15" s="97">
        <f>муниц!P14+'Лен '!P15+Высокор!P13+Гост!P13+Новотр!P14+Черн!P14</f>
        <v>0</v>
      </c>
      <c r="Q15" s="97">
        <f>муниц!Q14+'Лен '!Q15+Высокор!Q13+Гост!Q13+Новотр!Q14+Черн!Q14</f>
        <v>0</v>
      </c>
      <c r="R15" s="97">
        <f>муниц!R14+'Лен '!R15+Высокор!R13+Гост!R13+Новотр!R14+Черн!R14</f>
        <v>0</v>
      </c>
      <c r="S15" s="26"/>
    </row>
    <row r="16" spans="1:19" ht="18" x14ac:dyDescent="0.25">
      <c r="A16" s="12" t="s">
        <v>52</v>
      </c>
      <c r="B16" s="170">
        <v>1030226101</v>
      </c>
      <c r="C16" s="97">
        <f>муниц!C15+'Лен '!C16+Высокор!C14+Гост!C14+Новотр!C15+Черн!C15</f>
        <v>-1010.5</v>
      </c>
      <c r="D16" s="97">
        <f>муниц!D15+'Лен '!D16+Высокор!D14+Гост!D14+Новотр!D15+Черн!D15</f>
        <v>0</v>
      </c>
      <c r="E16" s="98">
        <f>C16+D16</f>
        <v>-1010.5</v>
      </c>
      <c r="F16" s="97">
        <f>муниц!F15+'Лен '!F16+Высокор!F14+Гост!F14+Новотр!F15+Черн!F15</f>
        <v>0</v>
      </c>
      <c r="G16" s="97">
        <f>муниц!G15+'Лен '!G16+Высокор!G14+Гост!G14+Новотр!G15+Черн!G15</f>
        <v>-643.59999999999991</v>
      </c>
      <c r="H16" s="99">
        <f>G16+M16</f>
        <v>-746.59999999999991</v>
      </c>
      <c r="I16" s="100">
        <f>H16/E16</f>
        <v>0.73884215734784753</v>
      </c>
      <c r="J16" s="100">
        <f t="shared" si="3"/>
        <v>0</v>
      </c>
      <c r="K16" s="97">
        <f>муниц!K15+'Лен '!K16+Высокор!K14+Гост!K14+Новотр!K15+Черн!K15</f>
        <v>-674</v>
      </c>
      <c r="L16" s="100">
        <f t="shared" si="4"/>
        <v>0</v>
      </c>
      <c r="M16" s="97">
        <f>муниц!M15+'Лен '!M16+Высокор!M14+Гост!M14+Новотр!M15+Черн!M15</f>
        <v>-103</v>
      </c>
      <c r="N16" s="97">
        <f>муниц!N15+'Лен '!N16+Высокор!N14+Гост!N14+Новотр!N15+Черн!N15</f>
        <v>-78.200000000000017</v>
      </c>
      <c r="O16" s="100">
        <f t="shared" si="5"/>
        <v>0</v>
      </c>
      <c r="P16" s="97">
        <f>муниц!P15+'Лен '!P16+Высокор!P14+Гост!P14+Новотр!P15+Черн!P15</f>
        <v>0</v>
      </c>
      <c r="Q16" s="97">
        <f>муниц!Q15+'Лен '!Q16+Высокор!Q14+Гост!Q14+Новотр!Q15+Черн!Q15</f>
        <v>0</v>
      </c>
      <c r="R16" s="97">
        <f>муниц!R15+'Лен '!R16+Высокор!R14+Гост!R14+Новотр!R15+Черн!R15</f>
        <v>0</v>
      </c>
      <c r="S16" s="26"/>
    </row>
    <row r="17" spans="1:19" ht="18" x14ac:dyDescent="0.25">
      <c r="A17" s="9" t="s">
        <v>82</v>
      </c>
      <c r="B17" s="18">
        <v>1050000000</v>
      </c>
      <c r="C17" s="95">
        <f t="shared" ref="C17:H17" si="10">C18+C19+C20+C21+C22</f>
        <v>37005</v>
      </c>
      <c r="D17" s="95">
        <f t="shared" si="10"/>
        <v>0</v>
      </c>
      <c r="E17" s="140">
        <f t="shared" si="10"/>
        <v>37005</v>
      </c>
      <c r="F17" s="95">
        <f t="shared" si="10"/>
        <v>11352.9</v>
      </c>
      <c r="G17" s="95">
        <f t="shared" si="10"/>
        <v>39245.9</v>
      </c>
      <c r="H17" s="95">
        <f t="shared" si="10"/>
        <v>39174.799999999996</v>
      </c>
      <c r="I17" s="96">
        <f t="shared" si="2"/>
        <v>1.0586353195514118</v>
      </c>
      <c r="J17" s="96">
        <f t="shared" si="3"/>
        <v>3.4506425670973933</v>
      </c>
      <c r="K17" s="95">
        <f>K18+K19+K20+K21+K22</f>
        <v>29123.4</v>
      </c>
      <c r="L17" s="96">
        <f t="shared" si="4"/>
        <v>1.3451314063605209</v>
      </c>
      <c r="M17" s="95">
        <f>M18+M19+M20+M21+M22</f>
        <v>-71.099999999999994</v>
      </c>
      <c r="N17" s="95">
        <f>N18+N19+N20+N21+N22</f>
        <v>198.39999999999998</v>
      </c>
      <c r="O17" s="96">
        <f t="shared" si="5"/>
        <v>-0.358366935483871</v>
      </c>
      <c r="P17" s="95">
        <f>P18+P19+P20+P21+P22</f>
        <v>2819.1</v>
      </c>
      <c r="Q17" s="95">
        <f>Q18+Q19+Q20+Q21+Q22</f>
        <v>2239.1</v>
      </c>
      <c r="R17" s="95">
        <f>R18+R19+R20+R21+R22</f>
        <v>2018.1999999999998</v>
      </c>
      <c r="S17" s="26"/>
    </row>
    <row r="18" spans="1:19" ht="18" x14ac:dyDescent="0.25">
      <c r="A18" s="10" t="s">
        <v>53</v>
      </c>
      <c r="B18" s="28">
        <v>1050101001</v>
      </c>
      <c r="C18" s="97">
        <f>муниц!C17</f>
        <v>25500</v>
      </c>
      <c r="D18" s="97">
        <f>муниц!D17</f>
        <v>0</v>
      </c>
      <c r="E18" s="101">
        <f>C18+D18</f>
        <v>25500</v>
      </c>
      <c r="F18" s="97">
        <f>муниц!F17</f>
        <v>7051</v>
      </c>
      <c r="G18" s="97">
        <f>муниц!G17</f>
        <v>29469.3</v>
      </c>
      <c r="H18" s="99">
        <f>G18+M18</f>
        <v>29623.3</v>
      </c>
      <c r="I18" s="100">
        <f t="shared" si="2"/>
        <v>1.1616980392156862</v>
      </c>
      <c r="J18" s="100">
        <f t="shared" si="3"/>
        <v>4.2012905970784287</v>
      </c>
      <c r="K18" s="97">
        <f>муниц!K17</f>
        <v>20161.3</v>
      </c>
      <c r="L18" s="100">
        <f t="shared" si="4"/>
        <v>1.4693149747288121</v>
      </c>
      <c r="M18" s="97">
        <f>муниц!M17</f>
        <v>154</v>
      </c>
      <c r="N18" s="97">
        <f>муниц!N17</f>
        <v>242</v>
      </c>
      <c r="O18" s="100">
        <f t="shared" si="5"/>
        <v>0.63636363636363635</v>
      </c>
      <c r="P18" s="97">
        <f>муниц!P17</f>
        <v>2169</v>
      </c>
      <c r="Q18" s="97">
        <f>муниц!Q17</f>
        <v>1790.8</v>
      </c>
      <c r="R18" s="97">
        <f>муниц!R17</f>
        <v>1636.1</v>
      </c>
      <c r="S18" s="26"/>
    </row>
    <row r="19" spans="1:19" ht="18" x14ac:dyDescent="0.25">
      <c r="A19" s="10" t="s">
        <v>54</v>
      </c>
      <c r="B19" s="28">
        <v>1050102001</v>
      </c>
      <c r="C19" s="97">
        <f>муниц!C18</f>
        <v>10200</v>
      </c>
      <c r="D19" s="97">
        <f>муниц!D18</f>
        <v>0</v>
      </c>
      <c r="E19" s="101">
        <f>C19+D19</f>
        <v>10200</v>
      </c>
      <c r="F19" s="97">
        <f>муниц!F18</f>
        <v>1509</v>
      </c>
      <c r="G19" s="97">
        <f>муниц!G18</f>
        <v>7553</v>
      </c>
      <c r="H19" s="99">
        <f>G19+M19</f>
        <v>7313.4</v>
      </c>
      <c r="I19" s="100">
        <f t="shared" si="2"/>
        <v>0.71699999999999997</v>
      </c>
      <c r="J19" s="100">
        <f t="shared" si="3"/>
        <v>4.8465208747514907</v>
      </c>
      <c r="K19" s="97">
        <f>муниц!K18</f>
        <v>8395.6</v>
      </c>
      <c r="L19" s="100">
        <f t="shared" si="4"/>
        <v>0.87109914717232828</v>
      </c>
      <c r="M19" s="97">
        <f>муниц!M18</f>
        <v>-239.6</v>
      </c>
      <c r="N19" s="97">
        <f>муниц!N18</f>
        <v>-64.8</v>
      </c>
      <c r="O19" s="100">
        <f t="shared" si="5"/>
        <v>0</v>
      </c>
      <c r="P19" s="97">
        <f>муниц!P18</f>
        <v>640.79999999999995</v>
      </c>
      <c r="Q19" s="97">
        <f>муниц!Q18</f>
        <v>437.8</v>
      </c>
      <c r="R19" s="97">
        <f>муниц!R18</f>
        <v>373.4</v>
      </c>
      <c r="S19" s="26"/>
    </row>
    <row r="20" spans="1:19" ht="18" x14ac:dyDescent="0.25">
      <c r="A20" s="13" t="s">
        <v>0</v>
      </c>
      <c r="B20" s="28">
        <v>1050200001</v>
      </c>
      <c r="C20" s="97">
        <f>муниц!C19</f>
        <v>0</v>
      </c>
      <c r="D20" s="97">
        <f>муниц!D19</f>
        <v>0</v>
      </c>
      <c r="E20" s="101">
        <f>C20+D20</f>
        <v>0</v>
      </c>
      <c r="F20" s="97">
        <f>муниц!F19</f>
        <v>2641</v>
      </c>
      <c r="G20" s="97">
        <f>муниц!G19</f>
        <v>0</v>
      </c>
      <c r="H20" s="99">
        <f>G20+M20</f>
        <v>0</v>
      </c>
      <c r="I20" s="100">
        <f t="shared" si="2"/>
        <v>0</v>
      </c>
      <c r="J20" s="100">
        <f t="shared" si="3"/>
        <v>0</v>
      </c>
      <c r="K20" s="97">
        <f>муниц!K19</f>
        <v>-4</v>
      </c>
      <c r="L20" s="100">
        <f t="shared" si="4"/>
        <v>0</v>
      </c>
      <c r="M20" s="97">
        <f>муниц!M19</f>
        <v>0</v>
      </c>
      <c r="N20" s="97">
        <f>муниц!N19</f>
        <v>0</v>
      </c>
      <c r="O20" s="100">
        <f t="shared" si="5"/>
        <v>0</v>
      </c>
      <c r="P20" s="97">
        <f>муниц!P19</f>
        <v>2.6</v>
      </c>
      <c r="Q20" s="97">
        <f>муниц!Q19</f>
        <v>2.6</v>
      </c>
      <c r="R20" s="97">
        <f>муниц!R19</f>
        <v>2.6</v>
      </c>
      <c r="S20" s="26"/>
    </row>
    <row r="21" spans="1:19" ht="18" x14ac:dyDescent="0.25">
      <c r="A21" s="13" t="s">
        <v>7</v>
      </c>
      <c r="B21" s="28">
        <v>1050300001</v>
      </c>
      <c r="C21" s="97">
        <f>муниц!C20+'Лен '!C18+Высокор!C16+Гост!C16+Новотр!C17+Черн!C17</f>
        <v>55</v>
      </c>
      <c r="D21" s="97">
        <f>муниц!D20+'Лен '!D18+Высокор!D16+Гост!D16+Новотр!D17+Черн!D17</f>
        <v>0</v>
      </c>
      <c r="E21" s="118">
        <f>C21+D21</f>
        <v>55</v>
      </c>
      <c r="F21" s="97">
        <f>муниц!F20+'Лен '!F18+Высокор!F16+Гост!F16+Новотр!F17+Черн!F17</f>
        <v>63</v>
      </c>
      <c r="G21" s="97">
        <f>муниц!G20+'Лен '!G18+Высокор!G16+Гост!G16+Новотр!G17+Черн!G17</f>
        <v>19.5</v>
      </c>
      <c r="H21" s="99">
        <f>G21+M21</f>
        <v>19.5</v>
      </c>
      <c r="I21" s="100">
        <f t="shared" si="2"/>
        <v>0.35454545454545455</v>
      </c>
      <c r="J21" s="100">
        <f t="shared" si="3"/>
        <v>0.30952380952380953</v>
      </c>
      <c r="K21" s="97">
        <f>муниц!K20+'Лен '!K18+Высокор!K16+Гост!K16+Новотр!K17+Черн!K17</f>
        <v>-296.39999999999998</v>
      </c>
      <c r="L21" s="100">
        <f t="shared" si="4"/>
        <v>0</v>
      </c>
      <c r="M21" s="97">
        <f>муниц!M20+'Лен '!M18+Высокор!M16+Гост!M16+Новотр!M17+Черн!M17</f>
        <v>0</v>
      </c>
      <c r="N21" s="97">
        <f>муниц!N20+'Лен '!N18+Высокор!N16+Гост!N16+Новотр!N17+Черн!N17</f>
        <v>0</v>
      </c>
      <c r="O21" s="100">
        <f t="shared" si="5"/>
        <v>0</v>
      </c>
      <c r="P21" s="97">
        <f>муниц!P20+'Лен '!P18+Высокор!P16+Гост!P16+Новотр!P17+Черн!P17</f>
        <v>0</v>
      </c>
      <c r="Q21" s="97">
        <f>муниц!Q20+'Лен '!Q18+Высокор!Q16+Гост!Q16+Новотр!Q17+Черн!Q17</f>
        <v>0</v>
      </c>
      <c r="R21" s="97">
        <f>муниц!R20+'Лен '!R18+Высокор!R16+Гост!R16+Новотр!R17+Черн!R17</f>
        <v>0</v>
      </c>
      <c r="S21" s="26"/>
    </row>
    <row r="22" spans="1:19" ht="18" x14ac:dyDescent="0.25">
      <c r="A22" s="10" t="s">
        <v>96</v>
      </c>
      <c r="B22" s="28">
        <v>1050402002</v>
      </c>
      <c r="C22" s="97">
        <f>муниц!C21</f>
        <v>1250</v>
      </c>
      <c r="D22" s="97">
        <f>муниц!D21</f>
        <v>0</v>
      </c>
      <c r="E22" s="101">
        <f>C22+D22</f>
        <v>1250</v>
      </c>
      <c r="F22" s="97">
        <f>муниц!F21</f>
        <v>88.9</v>
      </c>
      <c r="G22" s="97">
        <f>муниц!G21</f>
        <v>2204.1</v>
      </c>
      <c r="H22" s="99">
        <f>G22+M22</f>
        <v>2218.6</v>
      </c>
      <c r="I22" s="100">
        <f t="shared" si="2"/>
        <v>1.77488</v>
      </c>
      <c r="J22" s="100">
        <f t="shared" si="3"/>
        <v>24.956130483689535</v>
      </c>
      <c r="K22" s="97">
        <f>муниц!K21</f>
        <v>866.9</v>
      </c>
      <c r="L22" s="100">
        <f t="shared" si="4"/>
        <v>2.5592340523705155</v>
      </c>
      <c r="M22" s="97">
        <f>муниц!M21</f>
        <v>14.5</v>
      </c>
      <c r="N22" s="97">
        <f>муниц!N21</f>
        <v>21.2</v>
      </c>
      <c r="O22" s="100">
        <f t="shared" si="5"/>
        <v>0.68396226415094341</v>
      </c>
      <c r="P22" s="97">
        <f>муниц!P21</f>
        <v>6.7</v>
      </c>
      <c r="Q22" s="97">
        <f>муниц!Q21</f>
        <v>7.9</v>
      </c>
      <c r="R22" s="97">
        <f>муниц!R21</f>
        <v>6.1</v>
      </c>
      <c r="S22" s="26"/>
    </row>
    <row r="23" spans="1:19" ht="18" x14ac:dyDescent="0.25">
      <c r="A23" s="9" t="s">
        <v>80</v>
      </c>
      <c r="B23" s="18">
        <v>1060000000</v>
      </c>
      <c r="C23" s="103">
        <f t="shared" ref="C23:H23" si="11">C24+C25+C26</f>
        <v>10533</v>
      </c>
      <c r="D23" s="103">
        <f t="shared" si="11"/>
        <v>0</v>
      </c>
      <c r="E23" s="140">
        <f t="shared" si="11"/>
        <v>10533</v>
      </c>
      <c r="F23" s="103">
        <f t="shared" si="11"/>
        <v>1983</v>
      </c>
      <c r="G23" s="103">
        <f t="shared" si="11"/>
        <v>8475.7999999999993</v>
      </c>
      <c r="H23" s="103">
        <f t="shared" si="11"/>
        <v>8895.1999999999989</v>
      </c>
      <c r="I23" s="96">
        <f t="shared" si="2"/>
        <v>0.84450773758663233</v>
      </c>
      <c r="J23" s="96">
        <f t="shared" si="3"/>
        <v>4.4857286938981336</v>
      </c>
      <c r="K23" s="103">
        <f>K24+K25+K26</f>
        <v>6703.3000000000011</v>
      </c>
      <c r="L23" s="96">
        <f t="shared" si="4"/>
        <v>1.3269881998418684</v>
      </c>
      <c r="M23" s="103">
        <f>M24+M25+M26</f>
        <v>419.40000000000003</v>
      </c>
      <c r="N23" s="103">
        <f>N24+N25+N26</f>
        <v>25.299999999999997</v>
      </c>
      <c r="O23" s="96">
        <f t="shared" si="5"/>
        <v>16.577075098814234</v>
      </c>
      <c r="P23" s="95">
        <f>P24+P25+P26</f>
        <v>716.5</v>
      </c>
      <c r="Q23" s="103">
        <f>Q24+Q25+Q26</f>
        <v>409.2</v>
      </c>
      <c r="R23" s="103">
        <f>R24+R25+R26</f>
        <v>372.1</v>
      </c>
      <c r="S23" s="26"/>
    </row>
    <row r="24" spans="1:19" ht="18" x14ac:dyDescent="0.25">
      <c r="A24" s="13" t="s">
        <v>16</v>
      </c>
      <c r="B24" s="13">
        <v>1060103003</v>
      </c>
      <c r="C24" s="97">
        <f>'Лен '!C23+Высокор!C21+Гост!C21+Новотр!C22+Черн!C22</f>
        <v>1133</v>
      </c>
      <c r="D24" s="97">
        <f>'Лен '!D23+Высокор!D21+Гост!D21+Новотр!D22+Черн!D22</f>
        <v>0</v>
      </c>
      <c r="E24" s="101">
        <f>C24+D24</f>
        <v>1133</v>
      </c>
      <c r="F24" s="97">
        <f>'Лен '!F23+Высокор!F21+Гост!F21+Новотр!F22+Черн!F22</f>
        <v>0</v>
      </c>
      <c r="G24" s="99">
        <f>'Лен '!G23+Высокор!G21+Гост!G21+Новотр!G22+Черн!G22</f>
        <v>86.800000000000011</v>
      </c>
      <c r="H24" s="99">
        <f>G24+M24</f>
        <v>420.40000000000003</v>
      </c>
      <c r="I24" s="100">
        <f>IF(E24&gt;0,H24/E24,0)</f>
        <v>0.37105030891438662</v>
      </c>
      <c r="J24" s="100">
        <f>IF(F24&gt;0,H24/F24,0)</f>
        <v>0</v>
      </c>
      <c r="K24" s="99">
        <f>'Лен '!K23+Высокор!K21+Гост!K21+Новотр!K22+Черн!K22</f>
        <v>81.099999999999994</v>
      </c>
      <c r="L24" s="100">
        <f>IF(K24&gt;0,H24/K24,0)</f>
        <v>5.1837237977805186</v>
      </c>
      <c r="M24" s="99">
        <f>'Лен '!M23+Высокор!M21+Гост!M21+Новотр!M22+Черн!M22</f>
        <v>333.6</v>
      </c>
      <c r="N24" s="99">
        <f>'Лен '!N23+Высокор!N21+Гост!N21+Новотр!N22+Черн!N22</f>
        <v>55.099999999999994</v>
      </c>
      <c r="O24" s="100">
        <f>IF(N24&gt;0,M24/N24,0)</f>
        <v>6.0544464609800377</v>
      </c>
      <c r="P24" s="99">
        <f>'Лен '!P23+Высокор!P21+Гост!P21+Новотр!P22+Черн!P22</f>
        <v>304.3</v>
      </c>
      <c r="Q24" s="99">
        <f>'Лен '!Q23+Высокор!Q21+Гост!Q21+Новотр!Q22+Черн!Q22</f>
        <v>215.20000000000002</v>
      </c>
      <c r="R24" s="99">
        <f>'Лен '!R23+Высокор!R21+Гост!R21+Новотр!R22+Черн!R22</f>
        <v>210.1</v>
      </c>
      <c r="S24" s="26"/>
    </row>
    <row r="25" spans="1:19" ht="18" x14ac:dyDescent="0.25">
      <c r="A25" s="13" t="s">
        <v>19</v>
      </c>
      <c r="B25" s="13">
        <v>1060201002</v>
      </c>
      <c r="C25" s="97">
        <f>муниц!C22</f>
        <v>7800</v>
      </c>
      <c r="D25" s="97">
        <f>муниц!D22</f>
        <v>0</v>
      </c>
      <c r="E25" s="101">
        <f>C25+D25</f>
        <v>7800</v>
      </c>
      <c r="F25" s="97">
        <f>муниц!F22</f>
        <v>1983</v>
      </c>
      <c r="G25" s="97">
        <f>муниц!G22</f>
        <v>7627.7</v>
      </c>
      <c r="H25" s="99">
        <f>G25+M25</f>
        <v>7622</v>
      </c>
      <c r="I25" s="100">
        <f t="shared" si="2"/>
        <v>0.97717948717948722</v>
      </c>
      <c r="J25" s="100">
        <f t="shared" si="3"/>
        <v>3.8436712052445787</v>
      </c>
      <c r="K25" s="97">
        <f>муниц!K22</f>
        <v>5901.6</v>
      </c>
      <c r="L25" s="100">
        <f t="shared" si="4"/>
        <v>1.2915141656499931</v>
      </c>
      <c r="M25" s="97">
        <f>муниц!M22</f>
        <v>-5.7</v>
      </c>
      <c r="N25" s="97">
        <f>муниц!N22</f>
        <v>-33.299999999999997</v>
      </c>
      <c r="O25" s="100">
        <f t="shared" si="5"/>
        <v>0</v>
      </c>
      <c r="P25" s="97">
        <f>муниц!P22</f>
        <v>116</v>
      </c>
      <c r="Q25" s="97">
        <f>муниц!Q22</f>
        <v>23.5</v>
      </c>
      <c r="R25" s="97">
        <f>муниц!R22</f>
        <v>0</v>
      </c>
      <c r="S25" s="26"/>
    </row>
    <row r="26" spans="1:19" ht="18" x14ac:dyDescent="0.25">
      <c r="A26" s="13" t="s">
        <v>15</v>
      </c>
      <c r="B26" s="13">
        <v>1060600000</v>
      </c>
      <c r="C26" s="97">
        <f>'Лен '!C20+Высокор!C18+Гост!C18+Новотр!C19+Черн!C19</f>
        <v>1600</v>
      </c>
      <c r="D26" s="97">
        <f>'Лен '!D20+Высокор!D18+Гост!D18+Новотр!D19+Черн!D19</f>
        <v>0</v>
      </c>
      <c r="E26" s="98">
        <f>C26+D26</f>
        <v>1600</v>
      </c>
      <c r="F26" s="97">
        <f>'Лен '!F20+Высокор!F18+Гост!F18+Новотр!F19+Черн!F19</f>
        <v>0</v>
      </c>
      <c r="G26" s="99">
        <f>'Лен '!G20+Высокор!G18+Гост!G18+Новотр!G19+Черн!G19</f>
        <v>761.3</v>
      </c>
      <c r="H26" s="99">
        <f>G26+M26</f>
        <v>852.8</v>
      </c>
      <c r="I26" s="100">
        <f t="shared" si="2"/>
        <v>0.53299999999999992</v>
      </c>
      <c r="J26" s="100">
        <f t="shared" si="3"/>
        <v>0</v>
      </c>
      <c r="K26" s="99">
        <f>'Лен '!K20+Высокор!K18+Гост!K18+Новотр!K19+Черн!K19</f>
        <v>720.6</v>
      </c>
      <c r="L26" s="100">
        <f t="shared" si="4"/>
        <v>1.1834582292533999</v>
      </c>
      <c r="M26" s="99">
        <f>'Лен '!M20+Высокор!M18+Гост!M18+Новотр!M19+Черн!M19</f>
        <v>91.5</v>
      </c>
      <c r="N26" s="99">
        <f>'Лен '!N20+Высокор!N18+Гост!N18+Новотр!N19+Черн!N19</f>
        <v>3.5000000000000013</v>
      </c>
      <c r="O26" s="100">
        <f t="shared" si="5"/>
        <v>26.142857142857132</v>
      </c>
      <c r="P26" s="99">
        <f>'Лен '!P20+Высокор!P18+Гост!P18+Новотр!P19+Черн!P19</f>
        <v>296.20000000000005</v>
      </c>
      <c r="Q26" s="99">
        <f>'Лен '!Q20+Высокор!Q18+Гост!Q18+Новотр!Q19+Черн!Q19</f>
        <v>170.49999999999997</v>
      </c>
      <c r="R26" s="99">
        <f>'Лен '!R20+Высокор!R18+Гост!R18+Новотр!R19+Черн!R19</f>
        <v>162</v>
      </c>
      <c r="S26" s="26"/>
    </row>
    <row r="27" spans="1:19" ht="18" x14ac:dyDescent="0.25">
      <c r="A27" s="9" t="s">
        <v>83</v>
      </c>
      <c r="B27" s="18">
        <v>1080000000</v>
      </c>
      <c r="C27" s="102">
        <f>муниц!C23+Высокор!C22+Гост!C22+Новотр!C23+Черн!C23</f>
        <v>1161</v>
      </c>
      <c r="D27" s="102">
        <f>муниц!D23+Высокор!D22+Гост!D22+Новотр!D23+Черн!D23</f>
        <v>0</v>
      </c>
      <c r="E27" s="104">
        <f>C27+D27</f>
        <v>1161</v>
      </c>
      <c r="F27" s="102">
        <f>муниц!F23+Высокор!F22+Гост!F22+Новотр!F23+Черн!F23</f>
        <v>289</v>
      </c>
      <c r="G27" s="102">
        <f>муниц!G23+Высокор!G22+Гост!G22+Новотр!G23+Черн!G23</f>
        <v>792</v>
      </c>
      <c r="H27" s="95">
        <f>G27+M27</f>
        <v>991.1</v>
      </c>
      <c r="I27" s="96">
        <f t="shared" si="2"/>
        <v>0.85366063738156761</v>
      </c>
      <c r="J27" s="96">
        <f t="shared" si="3"/>
        <v>3.4294117647058826</v>
      </c>
      <c r="K27" s="102">
        <f>муниц!K23+Высокор!K22+Гост!K22+Новотр!K23+Черн!K23</f>
        <v>744.1</v>
      </c>
      <c r="L27" s="96">
        <f t="shared" si="4"/>
        <v>1.3319446310979708</v>
      </c>
      <c r="M27" s="102">
        <f>муниц!M23+Высокор!M22+Гост!M22+Новотр!M23+Черн!M23</f>
        <v>199.1</v>
      </c>
      <c r="N27" s="102">
        <f>муниц!N23+Высокор!N22+Гост!N22+Новотр!N23+Черн!N23</f>
        <v>67.699999999999989</v>
      </c>
      <c r="O27" s="96">
        <f t="shared" si="5"/>
        <v>2.9409158050221569</v>
      </c>
      <c r="P27" s="105"/>
      <c r="Q27" s="105"/>
      <c r="R27" s="105"/>
      <c r="S27" s="26"/>
    </row>
    <row r="28" spans="1:19" ht="18" hidden="1" x14ac:dyDescent="0.25">
      <c r="A28" s="9" t="s">
        <v>84</v>
      </c>
      <c r="B28" s="18">
        <v>1090000000</v>
      </c>
      <c r="C28" s="102">
        <f>муниц!C24+'Лен '!C24+Высокор!C23+Гост!C23+Новотр!C24+Черн!C24</f>
        <v>0</v>
      </c>
      <c r="D28" s="102">
        <f>муниц!D24+'Лен '!D24+Высокор!D23+Гост!D23+Новотр!D24+Черн!D24</f>
        <v>0</v>
      </c>
      <c r="E28" s="104">
        <f>C28+D28</f>
        <v>0</v>
      </c>
      <c r="F28" s="102">
        <f>муниц!F24+'Лен '!F24+Высокор!F23+Гост!F23+Новотр!F24+Черн!F24</f>
        <v>0</v>
      </c>
      <c r="G28" s="102">
        <f>муниц!G24+'Лен '!G24+Высокор!G23+Гост!G23+Новотр!G24+Черн!G24</f>
        <v>0</v>
      </c>
      <c r="H28" s="95">
        <f>G28+M28</f>
        <v>0</v>
      </c>
      <c r="I28" s="96">
        <f t="shared" si="2"/>
        <v>0</v>
      </c>
      <c r="J28" s="96">
        <f t="shared" si="3"/>
        <v>0</v>
      </c>
      <c r="K28" s="102">
        <f>муниц!K24+'Лен '!K24+Высокор!K23+Гост!K23+Новотр!K24+Черн!K24</f>
        <v>0</v>
      </c>
      <c r="L28" s="96">
        <f t="shared" si="4"/>
        <v>0</v>
      </c>
      <c r="M28" s="102">
        <f>муниц!M24+'Лен '!M24+Высокор!M23+Гост!M23+Новотр!M24+Черн!M24</f>
        <v>0</v>
      </c>
      <c r="N28" s="102">
        <f>муниц!N24+'Лен '!N24+Высокор!N23+Гост!N23+Новотр!N24+Черн!N24</f>
        <v>0</v>
      </c>
      <c r="O28" s="96">
        <f t="shared" si="5"/>
        <v>0</v>
      </c>
      <c r="P28" s="102">
        <f>муниц!P24+'Лен '!P24+Высокор!P23+Гост!P23+Новотр!P24+Черн!P24</f>
        <v>0</v>
      </c>
      <c r="Q28" s="102">
        <f>муниц!Q24+'Лен '!Q24+Высокор!Q23+Гост!Q23+Новотр!Q24+Черн!Q24</f>
        <v>0</v>
      </c>
      <c r="R28" s="102">
        <f>муниц!R24+'Лен '!R24+Высокор!R23+Гост!R23+Новотр!R24+Черн!R24</f>
        <v>0</v>
      </c>
      <c r="S28" s="26"/>
    </row>
    <row r="29" spans="1:19" ht="18" x14ac:dyDescent="0.25">
      <c r="A29" s="14" t="s">
        <v>22</v>
      </c>
      <c r="B29" s="20"/>
      <c r="C29" s="106">
        <f t="shared" ref="C29:H29" si="12">C30+C36+C37+C41+C44+C45</f>
        <v>33558.222000000002</v>
      </c>
      <c r="D29" s="107">
        <f t="shared" si="12"/>
        <v>30850.594000000001</v>
      </c>
      <c r="E29" s="107">
        <f t="shared" si="12"/>
        <v>64408.815999999999</v>
      </c>
      <c r="F29" s="107">
        <f t="shared" si="12"/>
        <v>7948.7</v>
      </c>
      <c r="G29" s="107">
        <f t="shared" si="12"/>
        <v>21753.7</v>
      </c>
      <c r="H29" s="107">
        <f t="shared" si="12"/>
        <v>24389.5</v>
      </c>
      <c r="I29" s="94">
        <f t="shared" si="2"/>
        <v>0.3786671066892458</v>
      </c>
      <c r="J29" s="94">
        <f t="shared" si="3"/>
        <v>3.0683633801753745</v>
      </c>
      <c r="K29" s="107">
        <f>K30+K36+K37+K41+K44+K45</f>
        <v>16584.8</v>
      </c>
      <c r="L29" s="94">
        <f t="shared" si="4"/>
        <v>1.4705935555448364</v>
      </c>
      <c r="M29" s="107">
        <f>M30+M36+M37+M41+M44+M45</f>
        <v>2635.8</v>
      </c>
      <c r="N29" s="107">
        <f>N30+N36+N37+N41+N44+N45</f>
        <v>1498.1999999999998</v>
      </c>
      <c r="O29" s="94">
        <f t="shared" si="5"/>
        <v>1.75931117340809</v>
      </c>
      <c r="P29" s="107">
        <f>P30+P36+P37+P41+P44+P45</f>
        <v>1511.4</v>
      </c>
      <c r="Q29" s="107">
        <f>Q30+Q36+Q37+Q41+Q44+Q45</f>
        <v>574</v>
      </c>
      <c r="R29" s="107">
        <f>R30+R36+R37+R41+R44+R45</f>
        <v>885.8</v>
      </c>
      <c r="S29" s="26"/>
    </row>
    <row r="30" spans="1:19" ht="18" x14ac:dyDescent="0.25">
      <c r="A30" s="9" t="s">
        <v>85</v>
      </c>
      <c r="B30" s="18">
        <v>1110000000</v>
      </c>
      <c r="C30" s="102">
        <f t="shared" ref="C30:H30" si="13">SUM(C31:C35)</f>
        <v>19661.5</v>
      </c>
      <c r="D30" s="102">
        <f t="shared" si="13"/>
        <v>177.42200000000074</v>
      </c>
      <c r="E30" s="102">
        <f t="shared" si="13"/>
        <v>19838.922000000002</v>
      </c>
      <c r="F30" s="102">
        <f t="shared" si="13"/>
        <v>2087.3000000000002</v>
      </c>
      <c r="G30" s="102">
        <f t="shared" si="13"/>
        <v>7421.6</v>
      </c>
      <c r="H30" s="102">
        <f t="shared" si="13"/>
        <v>9107.0999999999985</v>
      </c>
      <c r="I30" s="96">
        <f t="shared" si="2"/>
        <v>0.45905216019297812</v>
      </c>
      <c r="J30" s="96">
        <f t="shared" si="3"/>
        <v>4.3631006563503076</v>
      </c>
      <c r="K30" s="102">
        <f>SUM(K31:K35)</f>
        <v>3815.8</v>
      </c>
      <c r="L30" s="96">
        <f t="shared" si="4"/>
        <v>2.3866816919125737</v>
      </c>
      <c r="M30" s="102">
        <f>SUM(M31:M35)</f>
        <v>1685.5000000000002</v>
      </c>
      <c r="N30" s="102">
        <f>SUM(N31:N35)</f>
        <v>507.6</v>
      </c>
      <c r="O30" s="96">
        <f t="shared" si="5"/>
        <v>3.3205279747832943</v>
      </c>
      <c r="P30" s="102">
        <f>SUM(P31:P35)</f>
        <v>1511.4</v>
      </c>
      <c r="Q30" s="102">
        <f>SUM(Q31:Q35)</f>
        <v>574</v>
      </c>
      <c r="R30" s="102">
        <f>SUM(R31:R35)</f>
        <v>885.8</v>
      </c>
      <c r="S30" s="26"/>
    </row>
    <row r="31" spans="1:19" ht="0.75" customHeight="1" x14ac:dyDescent="0.25">
      <c r="A31" s="13" t="s">
        <v>20</v>
      </c>
      <c r="B31" s="13">
        <v>1110105005</v>
      </c>
      <c r="C31" s="97">
        <f>муниц!C27</f>
        <v>0</v>
      </c>
      <c r="D31" s="97">
        <f>муниц!D27</f>
        <v>0</v>
      </c>
      <c r="E31" s="101">
        <f t="shared" ref="E31:E44" si="14">C31+D31</f>
        <v>0</v>
      </c>
      <c r="F31" s="97">
        <f>муниц!F27</f>
        <v>0</v>
      </c>
      <c r="G31" s="97">
        <f>муниц!G27</f>
        <v>0</v>
      </c>
      <c r="H31" s="99">
        <f t="shared" ref="H31:H36" si="15">G31+M31</f>
        <v>0</v>
      </c>
      <c r="I31" s="100">
        <f t="shared" si="2"/>
        <v>0</v>
      </c>
      <c r="J31" s="100">
        <f t="shared" si="3"/>
        <v>0</v>
      </c>
      <c r="K31" s="97">
        <f>муниц!K27</f>
        <v>0</v>
      </c>
      <c r="L31" s="100">
        <f t="shared" si="4"/>
        <v>0</v>
      </c>
      <c r="M31" s="97">
        <f>муниц!M27</f>
        <v>0</v>
      </c>
      <c r="N31" s="97">
        <f>муниц!N27</f>
        <v>0</v>
      </c>
      <c r="O31" s="100">
        <f t="shared" si="5"/>
        <v>0</v>
      </c>
      <c r="P31" s="97"/>
      <c r="Q31" s="97"/>
      <c r="R31" s="97"/>
      <c r="S31" s="26"/>
    </row>
    <row r="32" spans="1:19" ht="18" x14ac:dyDescent="0.25">
      <c r="A32" s="13" t="s">
        <v>1</v>
      </c>
      <c r="B32" s="13">
        <v>1110501013</v>
      </c>
      <c r="C32" s="97">
        <f>муниц!C28+муниц!C29+'Лен '!C27+'Лен '!C28+Черн!C28</f>
        <v>2597</v>
      </c>
      <c r="D32" s="97">
        <f>муниц!D28+муниц!D29+'Лен '!D27+'Лен '!D28+Черн!D28</f>
        <v>3.6999999999999993</v>
      </c>
      <c r="E32" s="97">
        <f>муниц!E28+муниц!E29+'Лен '!E27+'Лен '!E28+Черн!E28</f>
        <v>2600.6999999999998</v>
      </c>
      <c r="F32" s="97">
        <f>муниц!F28+муниц!F29+'Лен '!F27+'Лен '!F28+Черн!F28</f>
        <v>900</v>
      </c>
      <c r="G32" s="97">
        <f>муниц!G28+муниц!G29+'Лен '!G27+'Лен '!G28+Черн!G28</f>
        <v>2499.4999999999995</v>
      </c>
      <c r="H32" s="97">
        <f>муниц!H28+муниц!H29+'Лен '!H27+'Лен '!H28+Черн!H28</f>
        <v>2839.7999999999997</v>
      </c>
      <c r="I32" s="100">
        <f t="shared" si="2"/>
        <v>1.0919367862498557</v>
      </c>
      <c r="J32" s="100">
        <f t="shared" si="3"/>
        <v>3.1553333333333331</v>
      </c>
      <c r="K32" s="97">
        <f>муниц!K28+муниц!K29+'Лен '!K27+'Лен '!K28+Черн!K28</f>
        <v>2098.8000000000002</v>
      </c>
      <c r="L32" s="100">
        <f t="shared" si="4"/>
        <v>1.3530588907947396</v>
      </c>
      <c r="M32" s="97">
        <f>муниц!M28+муниц!M29+'Лен '!M27+'Лен '!M28+Черн!M28</f>
        <v>340.3</v>
      </c>
      <c r="N32" s="97">
        <f>муниц!N28+муниц!N29+'Лен '!N27+'Лен '!N28+Черн!N28</f>
        <v>312.5</v>
      </c>
      <c r="O32" s="100">
        <f t="shared" si="5"/>
        <v>1.0889599999999999</v>
      </c>
      <c r="P32" s="97">
        <f>муниц!P28+муниц!P29+'Лен '!P27+Высокор!P26+Гост!P26+Новотр!P27+Черн!P27</f>
        <v>1103.4000000000001</v>
      </c>
      <c r="Q32" s="97">
        <f>муниц!Q28+муниц!Q29+'Лен '!Q27+Высокор!Q26+Гост!Q26+Новотр!Q27+Черн!Q27</f>
        <v>574</v>
      </c>
      <c r="R32" s="97">
        <f>муниц!R28+муниц!R29+'Лен '!R27+Высокор!R26+Гост!R26+Новотр!R27+Черн!R27</f>
        <v>885.8</v>
      </c>
      <c r="S32" s="26"/>
    </row>
    <row r="33" spans="1:19" ht="18" x14ac:dyDescent="0.25">
      <c r="A33" s="13" t="s">
        <v>17</v>
      </c>
      <c r="B33" s="13">
        <v>1110503510</v>
      </c>
      <c r="C33" s="97">
        <f>муниц!C30</f>
        <v>15583.5</v>
      </c>
      <c r="D33" s="97">
        <f>муниц!D30</f>
        <v>-14500</v>
      </c>
      <c r="E33" s="101">
        <f t="shared" si="14"/>
        <v>1083.5</v>
      </c>
      <c r="F33" s="97">
        <f>муниц!F30</f>
        <v>1187.3</v>
      </c>
      <c r="G33" s="97">
        <f>муниц!G30</f>
        <v>729.8</v>
      </c>
      <c r="H33" s="99">
        <f t="shared" si="15"/>
        <v>782.3</v>
      </c>
      <c r="I33" s="100">
        <f t="shared" si="2"/>
        <v>0.72201199815413009</v>
      </c>
      <c r="J33" s="100">
        <f t="shared" si="3"/>
        <v>0.65888991830202981</v>
      </c>
      <c r="K33" s="97">
        <f>муниц!K30</f>
        <v>792</v>
      </c>
      <c r="L33" s="100">
        <f t="shared" si="4"/>
        <v>0.98775252525252522</v>
      </c>
      <c r="M33" s="97">
        <f>муниц!M30</f>
        <v>52.5</v>
      </c>
      <c r="N33" s="97">
        <f>муниц!N30</f>
        <v>113.8</v>
      </c>
      <c r="O33" s="100">
        <f t="shared" si="5"/>
        <v>0.46133567662565905</v>
      </c>
      <c r="P33" s="97">
        <f>муниц!P30+Новотр!P28</f>
        <v>408</v>
      </c>
      <c r="Q33" s="97">
        <f>муниц!Q30</f>
        <v>0</v>
      </c>
      <c r="R33" s="97">
        <f>муниц!R30</f>
        <v>0</v>
      </c>
      <c r="S33" s="26"/>
    </row>
    <row r="34" spans="1:19" ht="18" x14ac:dyDescent="0.25">
      <c r="A34" s="13" t="s">
        <v>110</v>
      </c>
      <c r="B34" s="13">
        <v>1110507500</v>
      </c>
      <c r="C34" s="97">
        <f>'Лен '!C29+муниц!C31+Высокор!C26</f>
        <v>749</v>
      </c>
      <c r="D34" s="97">
        <f>'Лен '!D29+муниц!D31</f>
        <v>14500</v>
      </c>
      <c r="E34" s="98">
        <f t="shared" si="14"/>
        <v>15249</v>
      </c>
      <c r="F34" s="97">
        <f>'Лен '!F31+Гост!F27</f>
        <v>0</v>
      </c>
      <c r="G34" s="97">
        <f>'Лен '!G29+муниц!G31+Высокор!G26</f>
        <v>3591.7000000000003</v>
      </c>
      <c r="H34" s="99">
        <f t="shared" si="15"/>
        <v>4809</v>
      </c>
      <c r="I34" s="100">
        <f t="shared" si="2"/>
        <v>0.31536494196340742</v>
      </c>
      <c r="J34" s="100">
        <f t="shared" si="3"/>
        <v>0</v>
      </c>
      <c r="K34" s="97">
        <f>'Лен '!K29+муниц!K31+Высокор!K26</f>
        <v>393.4</v>
      </c>
      <c r="L34" s="100">
        <f t="shared" si="4"/>
        <v>12.224199288256228</v>
      </c>
      <c r="M34" s="97">
        <f>'Лен '!M29+муниц!M31+Высокор!M26</f>
        <v>1217.3000000000002</v>
      </c>
      <c r="N34" s="97">
        <f>'Лен '!N29+муниц!N31+Высокор!N26</f>
        <v>32.200000000000003</v>
      </c>
      <c r="O34" s="100">
        <f t="shared" si="5"/>
        <v>37.804347826086961</v>
      </c>
      <c r="P34" s="108"/>
      <c r="Q34" s="108"/>
      <c r="R34" s="108"/>
      <c r="S34" s="26"/>
    </row>
    <row r="35" spans="1:19" ht="18" x14ac:dyDescent="0.25">
      <c r="A35" s="13" t="s">
        <v>23</v>
      </c>
      <c r="B35" s="13">
        <v>1110904505</v>
      </c>
      <c r="C35" s="97">
        <f>муниц!C32+'Лен '!C30+Высокор!C27+Гост!C28+Новотр!C28+Черн!C29</f>
        <v>732</v>
      </c>
      <c r="D35" s="97">
        <f>муниц!D32+'Лен '!D30+Высокор!D27+Гост!D28+Новотр!D28+Черн!D29</f>
        <v>173.72200000000001</v>
      </c>
      <c r="E35" s="118">
        <f t="shared" si="14"/>
        <v>905.72199999999998</v>
      </c>
      <c r="F35" s="97">
        <f>муниц!F32+'Лен '!F30+Высокор!F27+Гост!F28+Новотр!F28+Черн!F29</f>
        <v>0</v>
      </c>
      <c r="G35" s="97">
        <f>муниц!G32+'Лен '!G30+Высокор!G27+Гост!G28+Новотр!G28+Черн!G29</f>
        <v>600.59999999999991</v>
      </c>
      <c r="H35" s="99">
        <f t="shared" si="15"/>
        <v>675.99999999999989</v>
      </c>
      <c r="I35" s="100">
        <f t="shared" si="2"/>
        <v>0.74636588268806536</v>
      </c>
      <c r="J35" s="100">
        <f t="shared" si="3"/>
        <v>0</v>
      </c>
      <c r="K35" s="97">
        <f>муниц!K32+'Лен '!K30+Высокор!K27+Гост!K28+Новотр!K28+Черн!K29</f>
        <v>531.6</v>
      </c>
      <c r="L35" s="100">
        <f t="shared" si="4"/>
        <v>1.2716328066215197</v>
      </c>
      <c r="M35" s="97">
        <f>муниц!M32+'Лен '!M30+Высокор!M27+Гост!M28+Новотр!M28+Черн!M29</f>
        <v>75.399999999999991</v>
      </c>
      <c r="N35" s="97">
        <f>муниц!N32+'Лен '!N30+Высокор!N27+Гост!N28+Новотр!N28+Черн!N29</f>
        <v>49.099999999999994</v>
      </c>
      <c r="O35" s="100">
        <f t="shared" si="5"/>
        <v>1.5356415478615071</v>
      </c>
      <c r="P35" s="108">
        <f>'Лен '!P30</f>
        <v>0</v>
      </c>
      <c r="Q35" s="108">
        <f>'Лен '!Q30+Новотр!Q28</f>
        <v>0</v>
      </c>
      <c r="R35" s="108">
        <f>'Лен '!R30</f>
        <v>0</v>
      </c>
      <c r="S35" s="26"/>
    </row>
    <row r="36" spans="1:19" ht="18" x14ac:dyDescent="0.25">
      <c r="A36" s="9" t="s">
        <v>81</v>
      </c>
      <c r="B36" s="18">
        <v>1120000000</v>
      </c>
      <c r="C36" s="102">
        <f>муниц!C33</f>
        <v>679.6</v>
      </c>
      <c r="D36" s="102">
        <f>муниц!D33</f>
        <v>0</v>
      </c>
      <c r="E36" s="104">
        <f t="shared" si="14"/>
        <v>679.6</v>
      </c>
      <c r="F36" s="102">
        <f>муниц!F33</f>
        <v>75</v>
      </c>
      <c r="G36" s="102">
        <f>муниц!G33</f>
        <v>895.9</v>
      </c>
      <c r="H36" s="95">
        <f t="shared" si="15"/>
        <v>895.9</v>
      </c>
      <c r="I36" s="96">
        <f t="shared" si="2"/>
        <v>1.3182754561506769</v>
      </c>
      <c r="J36" s="96">
        <f t="shared" si="3"/>
        <v>11.945333333333332</v>
      </c>
      <c r="K36" s="102">
        <f>муниц!K33</f>
        <v>1068.2</v>
      </c>
      <c r="L36" s="96">
        <f t="shared" si="4"/>
        <v>0.83870061786182359</v>
      </c>
      <c r="M36" s="102">
        <f>муниц!M33</f>
        <v>0</v>
      </c>
      <c r="N36" s="102">
        <f>муниц!N33</f>
        <v>0</v>
      </c>
      <c r="O36" s="96">
        <f t="shared" si="5"/>
        <v>0</v>
      </c>
      <c r="P36" s="95"/>
      <c r="Q36" s="105"/>
      <c r="R36" s="105"/>
      <c r="S36" s="26"/>
    </row>
    <row r="37" spans="1:19" ht="18" x14ac:dyDescent="0.25">
      <c r="A37" s="9" t="s">
        <v>66</v>
      </c>
      <c r="B37" s="18">
        <v>1130000000</v>
      </c>
      <c r="C37" s="102">
        <f t="shared" ref="C37:H37" si="16">SUM(C38:C40)</f>
        <v>8187</v>
      </c>
      <c r="D37" s="102">
        <f t="shared" si="16"/>
        <v>2000</v>
      </c>
      <c r="E37" s="103">
        <f t="shared" si="16"/>
        <v>10187</v>
      </c>
      <c r="F37" s="102">
        <f t="shared" si="16"/>
        <v>5703.4</v>
      </c>
      <c r="G37" s="102">
        <f t="shared" si="16"/>
        <v>5419.9</v>
      </c>
      <c r="H37" s="102">
        <f t="shared" si="16"/>
        <v>6206.5</v>
      </c>
      <c r="I37" s="96">
        <f t="shared" si="2"/>
        <v>0.60925689604397759</v>
      </c>
      <c r="J37" s="96">
        <f t="shared" si="3"/>
        <v>1.088210541080759</v>
      </c>
      <c r="K37" s="102">
        <f>SUM(K38:K40)</f>
        <v>6424.5</v>
      </c>
      <c r="L37" s="96">
        <f t="shared" si="4"/>
        <v>0.96606739824110821</v>
      </c>
      <c r="M37" s="102">
        <f>SUM(M38:M40)</f>
        <v>786.6</v>
      </c>
      <c r="N37" s="102">
        <f>SUM(N38:N40)</f>
        <v>747.09999999999991</v>
      </c>
      <c r="O37" s="96">
        <f t="shared" si="5"/>
        <v>1.0528711015928258</v>
      </c>
      <c r="P37" s="102">
        <f>SUM(P38:P40)</f>
        <v>0</v>
      </c>
      <c r="Q37" s="102">
        <f>SUM(Q38:Q40)</f>
        <v>0</v>
      </c>
      <c r="R37" s="102">
        <f>SUM(R38:R40)</f>
        <v>0</v>
      </c>
      <c r="S37" s="26"/>
    </row>
    <row r="38" spans="1:19" ht="18" x14ac:dyDescent="0.25">
      <c r="A38" s="15" t="s">
        <v>34</v>
      </c>
      <c r="B38" s="22">
        <v>1130199500</v>
      </c>
      <c r="C38" s="109">
        <f>муниц!C35</f>
        <v>7800</v>
      </c>
      <c r="D38" s="109">
        <f>муниц!D35</f>
        <v>0</v>
      </c>
      <c r="E38" s="101">
        <f t="shared" si="14"/>
        <v>7800</v>
      </c>
      <c r="F38" s="109">
        <f>муниц!F35</f>
        <v>5203.3999999999996</v>
      </c>
      <c r="G38" s="109">
        <f>муниц!G35</f>
        <v>3842.1</v>
      </c>
      <c r="H38" s="99">
        <f>G38+M38</f>
        <v>4426.3</v>
      </c>
      <c r="I38" s="100">
        <f>IF(E38&gt;0,H38/E38,0)</f>
        <v>0.56747435897435905</v>
      </c>
      <c r="J38" s="100">
        <f>IF(F38&gt;0,H38/F38,0)</f>
        <v>0.85065534073874782</v>
      </c>
      <c r="K38" s="109">
        <f>муниц!K35</f>
        <v>4413.7</v>
      </c>
      <c r="L38" s="100">
        <f t="shared" si="4"/>
        <v>1.0028547477173348</v>
      </c>
      <c r="M38" s="109">
        <f>муниц!M35</f>
        <v>584.20000000000005</v>
      </c>
      <c r="N38" s="109">
        <f>муниц!N35</f>
        <v>495.3</v>
      </c>
      <c r="O38" s="100">
        <f t="shared" si="5"/>
        <v>1.1794871794871795</v>
      </c>
      <c r="P38" s="110"/>
      <c r="Q38" s="111"/>
      <c r="R38" s="111"/>
      <c r="S38" s="26"/>
    </row>
    <row r="39" spans="1:19" ht="18" x14ac:dyDescent="0.25">
      <c r="A39" s="15" t="s">
        <v>35</v>
      </c>
      <c r="B39" s="22">
        <v>1130206500</v>
      </c>
      <c r="C39" s="109">
        <f>муниц!C36+'Лен '!C33</f>
        <v>387</v>
      </c>
      <c r="D39" s="109">
        <f>муниц!D36+'Лен '!D33</f>
        <v>0</v>
      </c>
      <c r="E39" s="118">
        <f t="shared" si="14"/>
        <v>387</v>
      </c>
      <c r="F39" s="109">
        <f>муниц!F36</f>
        <v>500</v>
      </c>
      <c r="G39" s="109">
        <f>муниц!G36+'Лен '!G33</f>
        <v>238.2</v>
      </c>
      <c r="H39" s="99">
        <f>G39+M39</f>
        <v>241</v>
      </c>
      <c r="I39" s="100">
        <f>IF(E39&gt;0,H39/E39,0)</f>
        <v>0.62273901808785526</v>
      </c>
      <c r="J39" s="100">
        <f>IF(F39&gt;0,H39/F39,0)</f>
        <v>0.48199999999999998</v>
      </c>
      <c r="K39" s="109">
        <f>муниц!K36+'Лен '!K33</f>
        <v>318.5</v>
      </c>
      <c r="L39" s="100">
        <f t="shared" si="4"/>
        <v>0.75667189952904235</v>
      </c>
      <c r="M39" s="109">
        <f>муниц!M36+'Лен '!M33</f>
        <v>2.8</v>
      </c>
      <c r="N39" s="109">
        <f>муниц!N36+'Лен '!N33</f>
        <v>72.5</v>
      </c>
      <c r="O39" s="100">
        <f t="shared" si="5"/>
        <v>3.8620689655172409E-2</v>
      </c>
      <c r="P39" s="110"/>
      <c r="Q39" s="111"/>
      <c r="R39" s="111"/>
      <c r="S39" s="26"/>
    </row>
    <row r="40" spans="1:19" ht="18" x14ac:dyDescent="0.25">
      <c r="A40" s="15" t="s">
        <v>38</v>
      </c>
      <c r="B40" s="22">
        <v>1130299510</v>
      </c>
      <c r="C40" s="109">
        <f>муниц!C37+'Лен '!C34+Высокор!C28+Гост!C29+Новотр!C29+Черн!C30</f>
        <v>0</v>
      </c>
      <c r="D40" s="143">
        <f>муниц!D37+'Лен '!D34+Высокор!D28+Гост!D29+Новотр!D29+Черн!D30</f>
        <v>2000</v>
      </c>
      <c r="E40" s="118">
        <f t="shared" si="14"/>
        <v>2000</v>
      </c>
      <c r="F40" s="109">
        <f>муниц!F37+'Лен '!F34+Высокор!F28+Гост!F29+Новотр!F29+Черн!F30</f>
        <v>0</v>
      </c>
      <c r="G40" s="109">
        <f>муниц!G37+'Лен '!G34+Высокор!G28+Гост!G29+Новотр!G29+Черн!G30</f>
        <v>1339.6</v>
      </c>
      <c r="H40" s="99">
        <f>G40+M40</f>
        <v>1539.1999999999998</v>
      </c>
      <c r="I40" s="100">
        <f>IF(E40&gt;0,H40/E40,0)</f>
        <v>0.76959999999999995</v>
      </c>
      <c r="J40" s="100">
        <f>IF(F40&gt;0,H40/F40,0)</f>
        <v>0</v>
      </c>
      <c r="K40" s="109">
        <f>муниц!K37+'Лен '!K34+Высокор!K28+Гост!K29+Новотр!K29+Черн!K30</f>
        <v>1692.3</v>
      </c>
      <c r="L40" s="100">
        <f t="shared" si="4"/>
        <v>0.9095314069609407</v>
      </c>
      <c r="M40" s="109">
        <f>муниц!M37+'Лен '!M34+Высокор!M28+Гост!M29+Новотр!M29+Черн!M30</f>
        <v>199.6</v>
      </c>
      <c r="N40" s="109">
        <f>муниц!N37+'Лен '!N34+Высокор!N28+Гост!N29+Новотр!N29+Черн!N30</f>
        <v>179.3</v>
      </c>
      <c r="O40" s="100">
        <f t="shared" si="5"/>
        <v>1.1132180702732848</v>
      </c>
      <c r="P40" s="110"/>
      <c r="Q40" s="111"/>
      <c r="R40" s="111"/>
      <c r="S40" s="26"/>
    </row>
    <row r="41" spans="1:19" ht="18" x14ac:dyDescent="0.25">
      <c r="A41" s="9" t="s">
        <v>86</v>
      </c>
      <c r="B41" s="18">
        <v>1140000000</v>
      </c>
      <c r="C41" s="102">
        <f t="shared" ref="C41:H41" si="17">SUM(C42:C43)</f>
        <v>792.5</v>
      </c>
      <c r="D41" s="102">
        <f t="shared" si="17"/>
        <v>28407.811000000002</v>
      </c>
      <c r="E41" s="102">
        <f t="shared" si="17"/>
        <v>29200.311000000002</v>
      </c>
      <c r="F41" s="102">
        <f t="shared" si="17"/>
        <v>0</v>
      </c>
      <c r="G41" s="102">
        <f t="shared" si="17"/>
        <v>3846.9</v>
      </c>
      <c r="H41" s="102">
        <f t="shared" si="17"/>
        <v>3967.9</v>
      </c>
      <c r="I41" s="96">
        <f t="shared" si="2"/>
        <v>0.13588553902730693</v>
      </c>
      <c r="J41" s="96">
        <f t="shared" si="3"/>
        <v>0</v>
      </c>
      <c r="K41" s="102">
        <f>SUM(K42:K43)</f>
        <v>1497.4</v>
      </c>
      <c r="L41" s="96">
        <f t="shared" si="4"/>
        <v>2.6498597569119808</v>
      </c>
      <c r="M41" s="102">
        <f>SUM(M42:M43)</f>
        <v>121</v>
      </c>
      <c r="N41" s="102">
        <f>SUM(N42:N43)</f>
        <v>200.60000000000002</v>
      </c>
      <c r="O41" s="96">
        <f t="shared" si="5"/>
        <v>0.60319042871385831</v>
      </c>
      <c r="P41" s="105"/>
      <c r="Q41" s="105"/>
      <c r="R41" s="105"/>
      <c r="S41" s="26"/>
    </row>
    <row r="42" spans="1:19" ht="18" x14ac:dyDescent="0.25">
      <c r="A42" s="13" t="s">
        <v>31</v>
      </c>
      <c r="B42" s="13">
        <v>1140205200</v>
      </c>
      <c r="C42" s="109">
        <f>муниц!C40+'Лен '!C36+Высокор!C29+Гост!C30+Новотр!C31+Черн!C31+муниц!C39</f>
        <v>183.5</v>
      </c>
      <c r="D42" s="109">
        <f>муниц!D40+'Лен '!D36+Высокор!D29+Гост!D30+Новотр!D31+Черн!D31+муниц!D39</f>
        <v>27819.111000000001</v>
      </c>
      <c r="E42" s="109">
        <f>муниц!E40+'Лен '!E36+Высокор!E29+Гост!E30+Новотр!E31+Черн!E31+муниц!E39</f>
        <v>28002.611000000001</v>
      </c>
      <c r="F42" s="109">
        <f>муниц!F40+'Лен '!F36+Высокор!F29+Гост!F30+Новотр!F31+Черн!F31+муниц!F39</f>
        <v>0</v>
      </c>
      <c r="G42" s="109">
        <f>муниц!G40+'Лен '!G36+Высокор!G29+Гост!G30+Новотр!G31+Черн!G31+муниц!G39</f>
        <v>2185.8000000000002</v>
      </c>
      <c r="H42" s="109">
        <f>муниц!H40+'Лен '!H36+Высокор!H29+Гост!H30+Новотр!H31+Черн!H31+муниц!H39</f>
        <v>2185.8000000000002</v>
      </c>
      <c r="I42" s="100">
        <f t="shared" si="2"/>
        <v>7.8057006898392442E-2</v>
      </c>
      <c r="J42" s="100">
        <f t="shared" si="3"/>
        <v>0</v>
      </c>
      <c r="K42" s="109">
        <f>муниц!K40+'Лен '!K36+Высокор!K29+Гост!K30+Новотр!K31+Черн!K31+муниц!K39</f>
        <v>1212</v>
      </c>
      <c r="L42" s="100">
        <f t="shared" si="4"/>
        <v>1.8034653465346535</v>
      </c>
      <c r="M42" s="109">
        <f>муниц!M40+'Лен '!M36+Высокор!M29+Гост!M30+Новотр!M31+Черн!M31+муниц!M39</f>
        <v>0</v>
      </c>
      <c r="N42" s="109">
        <f>муниц!N40+'Лен '!N36+Высокор!N29+Гост!N30+Новотр!N31+Черн!N31+муниц!N39</f>
        <v>8.8000000000000007</v>
      </c>
      <c r="O42" s="100">
        <f t="shared" si="5"/>
        <v>0</v>
      </c>
      <c r="P42" s="111"/>
      <c r="Q42" s="111"/>
      <c r="R42" s="111"/>
      <c r="S42" s="26"/>
    </row>
    <row r="43" spans="1:19" ht="18" x14ac:dyDescent="0.25">
      <c r="A43" s="13" t="s">
        <v>32</v>
      </c>
      <c r="B43" s="13">
        <v>1140600000</v>
      </c>
      <c r="C43" s="109">
        <f>муниц!C41+'Лен '!C37+Высокор!C30+Гост!C31+Новотр!C30+Черн!C32+'Лен '!C38</f>
        <v>609</v>
      </c>
      <c r="D43" s="109">
        <f>муниц!D41+'Лен '!D37+Высокор!D30+Гост!D31+Новотр!D30+Черн!D32+'Лен '!D38</f>
        <v>588.69999999999982</v>
      </c>
      <c r="E43" s="101">
        <f t="shared" si="14"/>
        <v>1197.6999999999998</v>
      </c>
      <c r="F43" s="109">
        <f>муниц!F41+'Лен '!F37+Высокор!F30+Гост!F31+Новотр!F30+Черн!F32</f>
        <v>0</v>
      </c>
      <c r="G43" s="109">
        <f>муниц!G41+'Лен '!G37+Высокор!G30+Гост!G31+Новотр!G30+Черн!G32+'Лен '!G38</f>
        <v>1661.1</v>
      </c>
      <c r="H43" s="99">
        <f>G43+M43</f>
        <v>1782.1</v>
      </c>
      <c r="I43" s="100">
        <f t="shared" si="2"/>
        <v>1.4879352091508726</v>
      </c>
      <c r="J43" s="100">
        <f t="shared" si="3"/>
        <v>0</v>
      </c>
      <c r="K43" s="109">
        <f>муниц!K41+'Лен '!K37+Высокор!K30+Гост!K31+Новотр!K30+Черн!K32+'Лен '!K38</f>
        <v>285.39999999999998</v>
      </c>
      <c r="L43" s="100">
        <f t="shared" si="4"/>
        <v>6.2442186405045552</v>
      </c>
      <c r="M43" s="109">
        <f>муниц!M41+'Лен '!M37+Высокор!M30+Гост!M31+Новотр!M30+Черн!M32+'Лен '!M38</f>
        <v>121</v>
      </c>
      <c r="N43" s="109">
        <f>муниц!N41+'Лен '!N37+Высокор!N30+Гост!N31+Новотр!N30+Черн!N32+'Лен '!N38</f>
        <v>191.8</v>
      </c>
      <c r="O43" s="100">
        <f t="shared" si="5"/>
        <v>0.63086548488008343</v>
      </c>
      <c r="P43" s="111"/>
      <c r="Q43" s="111"/>
      <c r="R43" s="111"/>
      <c r="S43" s="26"/>
    </row>
    <row r="44" spans="1:19" ht="18" x14ac:dyDescent="0.25">
      <c r="A44" s="9" t="s">
        <v>87</v>
      </c>
      <c r="B44" s="18">
        <v>1160000000</v>
      </c>
      <c r="C44" s="102">
        <f>муниц!C42+'Лен '!C39+Высокор!C31+Гост!C32+Новотр!C32+Черн!C33</f>
        <v>843.7</v>
      </c>
      <c r="D44" s="102">
        <f>муниц!D42+'Лен '!D39+Высокор!D31+Гост!D32+Новотр!D32+Черн!D33</f>
        <v>59.223999999999997</v>
      </c>
      <c r="E44" s="104">
        <f t="shared" si="14"/>
        <v>902.92400000000009</v>
      </c>
      <c r="F44" s="102">
        <f>муниц!F42+'Лен '!F39+Высокор!F31+Гост!F32+Новотр!F32+Черн!F33</f>
        <v>83</v>
      </c>
      <c r="G44" s="102">
        <f>муниц!G42+'Лен '!G39+Высокор!G31+Гост!G32+Новотр!G32+Черн!G33</f>
        <v>867.40000000000009</v>
      </c>
      <c r="H44" s="95">
        <f>G44+M44</f>
        <v>903.50000000000011</v>
      </c>
      <c r="I44" s="96">
        <f t="shared" si="2"/>
        <v>1.0006379274446133</v>
      </c>
      <c r="J44" s="96">
        <f t="shared" si="3"/>
        <v>10.8855421686747</v>
      </c>
      <c r="K44" s="102">
        <f>муниц!K42+'Лен '!K39+Высокор!K31+Гост!K32+Новотр!K32+Черн!K33</f>
        <v>1378.7</v>
      </c>
      <c r="L44" s="96">
        <f t="shared" si="4"/>
        <v>0.65532748241096694</v>
      </c>
      <c r="M44" s="102">
        <f>муниц!M42+'Лен '!M39+Высокор!M31+Гост!M32+Новотр!M32+Черн!M33</f>
        <v>36.1</v>
      </c>
      <c r="N44" s="102">
        <f>муниц!N42+'Лен '!N39+Высокор!N31+Гост!N32+Новотр!N32+Черн!N33</f>
        <v>38</v>
      </c>
      <c r="O44" s="96">
        <f t="shared" si="5"/>
        <v>0.95000000000000007</v>
      </c>
      <c r="P44" s="105"/>
      <c r="Q44" s="105"/>
      <c r="R44" s="105"/>
      <c r="S44" s="26"/>
    </row>
    <row r="45" spans="1:19" ht="18" x14ac:dyDescent="0.25">
      <c r="A45" s="9" t="s">
        <v>88</v>
      </c>
      <c r="B45" s="18">
        <v>1170000000</v>
      </c>
      <c r="C45" s="102">
        <f t="shared" ref="C45:H45" si="18">SUM(C46:C48)</f>
        <v>3393.922</v>
      </c>
      <c r="D45" s="102">
        <f t="shared" si="18"/>
        <v>206.137</v>
      </c>
      <c r="E45" s="102">
        <f t="shared" si="18"/>
        <v>3600.0590000000002</v>
      </c>
      <c r="F45" s="102">
        <f t="shared" si="18"/>
        <v>0</v>
      </c>
      <c r="G45" s="102">
        <f t="shared" si="18"/>
        <v>3302.0000000000005</v>
      </c>
      <c r="H45" s="102">
        <f t="shared" si="18"/>
        <v>3308.6000000000004</v>
      </c>
      <c r="I45" s="96">
        <f t="shared" si="2"/>
        <v>0.91904049350302319</v>
      </c>
      <c r="J45" s="96">
        <f t="shared" si="3"/>
        <v>0</v>
      </c>
      <c r="K45" s="102">
        <f>SUM(K46:K48)</f>
        <v>2400.2000000000003</v>
      </c>
      <c r="L45" s="96">
        <f t="shared" si="4"/>
        <v>1.3784684609615865</v>
      </c>
      <c r="M45" s="102">
        <f>SUM(M46:M48)</f>
        <v>6.6</v>
      </c>
      <c r="N45" s="102">
        <f>SUM(N46:N48)</f>
        <v>4.9000000000000004</v>
      </c>
      <c r="O45" s="96">
        <f t="shared" si="5"/>
        <v>1.3469387755102038</v>
      </c>
      <c r="P45" s="102">
        <f>SUM(P46:P47)</f>
        <v>0</v>
      </c>
      <c r="Q45" s="102">
        <f>SUM(Q46:Q47)</f>
        <v>0</v>
      </c>
      <c r="R45" s="102">
        <f>SUM(R46:R47)</f>
        <v>0</v>
      </c>
      <c r="S45" s="26"/>
    </row>
    <row r="46" spans="1:19" ht="18" x14ac:dyDescent="0.25">
      <c r="A46" s="13" t="s">
        <v>8</v>
      </c>
      <c r="B46" s="13">
        <v>1170105005</v>
      </c>
      <c r="C46" s="97"/>
      <c r="D46" s="97"/>
      <c r="E46" s="101">
        <f>C46+D46</f>
        <v>0</v>
      </c>
      <c r="F46" s="97"/>
      <c r="G46" s="97">
        <f>муниц!G44+'Лен '!G41+Высокор!G33+Гост!G34+Новотр!G34+Черн!G35</f>
        <v>4.0999999999999996</v>
      </c>
      <c r="H46" s="99">
        <f>G46+M46</f>
        <v>2.9999999999999996</v>
      </c>
      <c r="I46" s="100">
        <f t="shared" si="2"/>
        <v>0</v>
      </c>
      <c r="J46" s="100">
        <f t="shared" si="3"/>
        <v>0</v>
      </c>
      <c r="K46" s="97">
        <f>муниц!K44+'Лен '!K41+Высокор!K33+Гост!K34+Новотр!K34+Черн!K35</f>
        <v>-1</v>
      </c>
      <c r="L46" s="100">
        <f t="shared" si="4"/>
        <v>0</v>
      </c>
      <c r="M46" s="97">
        <f>муниц!M44+'Лен '!M41+Высокор!M33+Гост!M34+Новотр!M34+Черн!M35</f>
        <v>-1.1000000000000001</v>
      </c>
      <c r="N46" s="97">
        <f>муниц!N44+'Лен '!N41+Высокор!N33+Гост!N34+Новотр!N34+Черн!N35</f>
        <v>-0.4</v>
      </c>
      <c r="O46" s="100">
        <f t="shared" si="5"/>
        <v>0</v>
      </c>
      <c r="P46" s="100"/>
      <c r="Q46" s="108"/>
      <c r="R46" s="108"/>
      <c r="S46" s="26"/>
    </row>
    <row r="47" spans="1:19" ht="18" x14ac:dyDescent="0.25">
      <c r="A47" s="13" t="s">
        <v>14</v>
      </c>
      <c r="B47" s="13">
        <v>1170505005</v>
      </c>
      <c r="C47" s="97">
        <f>муниц!C45+'Лен '!C42+Высокор!C34+Гост!C35+Новотр!C35+Черн!C36</f>
        <v>0</v>
      </c>
      <c r="D47" s="97">
        <f>муниц!D45+'Лен '!D42+Высокор!D34+Гост!D35+Новотр!D35+Черн!D36</f>
        <v>5</v>
      </c>
      <c r="E47" s="101">
        <f>C47+D47</f>
        <v>5</v>
      </c>
      <c r="F47" s="97">
        <f>муниц!F45+'Лен '!F42+Высокор!F34+Гост!F35+Новотр!F35+Черн!F36</f>
        <v>0</v>
      </c>
      <c r="G47" s="97">
        <f>муниц!G45+'Лен '!G42+Высокор!G34+Гост!G35+Новотр!G35+Черн!G36</f>
        <v>4.7</v>
      </c>
      <c r="H47" s="99">
        <f>G47+M47</f>
        <v>6.4</v>
      </c>
      <c r="I47" s="100">
        <f t="shared" si="2"/>
        <v>1.28</v>
      </c>
      <c r="J47" s="100">
        <f t="shared" si="3"/>
        <v>0</v>
      </c>
      <c r="K47" s="97">
        <f>муниц!K45+'Лен '!K42+Высокор!K34+Гост!K35+Новотр!K35+Черн!K36</f>
        <v>1.3000000000000003</v>
      </c>
      <c r="L47" s="100">
        <f t="shared" si="4"/>
        <v>4.9230769230769225</v>
      </c>
      <c r="M47" s="97">
        <f>муниц!M45+'Лен '!M42+Высокор!M34+Гост!M35+Новотр!M35+Черн!M36</f>
        <v>1.7</v>
      </c>
      <c r="N47" s="97">
        <f>муниц!N45+'Лен '!N42+Высокор!N34+Гост!N35+Новотр!N35+Черн!N36</f>
        <v>0.3</v>
      </c>
      <c r="O47" s="100">
        <f t="shared" si="5"/>
        <v>5.666666666666667</v>
      </c>
      <c r="P47" s="97"/>
      <c r="Q47" s="97"/>
      <c r="R47" s="97"/>
      <c r="S47" s="26"/>
    </row>
    <row r="48" spans="1:19" ht="18" x14ac:dyDescent="0.25">
      <c r="A48" s="45" t="s">
        <v>114</v>
      </c>
      <c r="B48" s="160">
        <v>1171503005</v>
      </c>
      <c r="C48" s="97">
        <f>муниц!C46+'Лен '!C43+Высокор!C35+Гост!C36+Новотр!C36+Черн!C37</f>
        <v>3393.922</v>
      </c>
      <c r="D48" s="164">
        <f>муниц!D46+'Лен '!D43+Высокор!D35+Новотр!D36+Черн!D37+Гост!D36</f>
        <v>201.137</v>
      </c>
      <c r="E48" s="101">
        <f>C48+D48</f>
        <v>3595.0590000000002</v>
      </c>
      <c r="F48" s="97"/>
      <c r="G48" s="97">
        <f>муниц!G46+'Лен '!G43+Высокор!G35+Гост!G36+Новотр!G36+Черн!G37</f>
        <v>3293.2000000000003</v>
      </c>
      <c r="H48" s="99">
        <f>G48+M48</f>
        <v>3299.2000000000003</v>
      </c>
      <c r="I48" s="100">
        <f t="shared" si="2"/>
        <v>0.91770399317507723</v>
      </c>
      <c r="J48" s="100"/>
      <c r="K48" s="97">
        <f>муниц!K46+'Лен '!K43+Высокор!K35+Гост!K36+Новотр!K36+Черн!K37</f>
        <v>2399.9</v>
      </c>
      <c r="L48" s="100">
        <f t="shared" si="4"/>
        <v>1.3747239468311181</v>
      </c>
      <c r="M48" s="97">
        <f>муниц!M46+'Лен '!M43+Высокор!M35+Гост!M36+Новотр!M36+Черн!M37</f>
        <v>6</v>
      </c>
      <c r="N48" s="97">
        <f>муниц!N46+'Лен '!N43+Высокор!N35+Гост!N36+Новотр!N36+Черн!N37</f>
        <v>5</v>
      </c>
      <c r="O48" s="100">
        <f t="shared" si="5"/>
        <v>1.2</v>
      </c>
      <c r="P48" s="97"/>
      <c r="Q48" s="97"/>
      <c r="R48" s="97"/>
      <c r="S48" s="26"/>
    </row>
    <row r="49" spans="1:19" ht="18" x14ac:dyDescent="0.25">
      <c r="A49" s="16" t="s">
        <v>6</v>
      </c>
      <c r="B49" s="23">
        <v>1000000000</v>
      </c>
      <c r="C49" s="112">
        <f t="shared" ref="C49:H49" si="19">C5+C29</f>
        <v>127482.22200000001</v>
      </c>
      <c r="D49" s="112">
        <f t="shared" si="19"/>
        <v>31170.594000000001</v>
      </c>
      <c r="E49" s="162">
        <f t="shared" si="19"/>
        <v>158652.81599999999</v>
      </c>
      <c r="F49" s="114">
        <f t="shared" si="19"/>
        <v>31471.4</v>
      </c>
      <c r="G49" s="115">
        <f t="shared" si="19"/>
        <v>102354.9</v>
      </c>
      <c r="H49" s="115">
        <f t="shared" si="19"/>
        <v>108306.7</v>
      </c>
      <c r="I49" s="116">
        <f t="shared" si="2"/>
        <v>0.68266484472610933</v>
      </c>
      <c r="J49" s="116">
        <f t="shared" si="3"/>
        <v>3.4414325387494675</v>
      </c>
      <c r="K49" s="113">
        <f>K5+K29</f>
        <v>84135.3</v>
      </c>
      <c r="L49" s="116">
        <f t="shared" si="4"/>
        <v>1.2872920165495338</v>
      </c>
      <c r="M49" s="115">
        <f>M5+M29</f>
        <v>5951.8</v>
      </c>
      <c r="N49" s="115">
        <f>N5+N29</f>
        <v>5296.1</v>
      </c>
      <c r="O49" s="116">
        <f t="shared" si="5"/>
        <v>1.1238080851947658</v>
      </c>
      <c r="P49" s="113">
        <f>P5+P29</f>
        <v>5661.6</v>
      </c>
      <c r="Q49" s="113">
        <f>Q5+Q29</f>
        <v>3740.8999999999996</v>
      </c>
      <c r="R49" s="113">
        <f>R5+R29</f>
        <v>3837.3999999999996</v>
      </c>
      <c r="S49" s="26"/>
    </row>
    <row r="50" spans="1:19" ht="18" x14ac:dyDescent="0.25">
      <c r="A50" s="13" t="s">
        <v>36</v>
      </c>
      <c r="B50" s="21">
        <v>2000000000</v>
      </c>
      <c r="C50" s="117">
        <f>муниц!C49+'Лен '!C46+Высокор!C38+Гост!C39+Новотр!C39+Черн!C40-6600-800-5245-11177-4000</f>
        <v>504337.16000000003</v>
      </c>
      <c r="D50" s="117">
        <f>муниц!D49+'Лен '!D46+Высокор!D38+Гост!D39+Новотр!D39+Черн!D40-1900-581.5-181.3-39+290-942</f>
        <v>101438.10699999999</v>
      </c>
      <c r="E50" s="118">
        <f>C50+D50</f>
        <v>605775.26699999999</v>
      </c>
      <c r="F50" s="99">
        <f>муниц!F49</f>
        <v>74695.19</v>
      </c>
      <c r="G50" s="215">
        <v>396479.3</v>
      </c>
      <c r="H50" s="215">
        <f>G50+M50</f>
        <v>455941.1</v>
      </c>
      <c r="I50" s="100">
        <f t="shared" si="2"/>
        <v>0.75265717310971025</v>
      </c>
      <c r="J50" s="100">
        <f t="shared" si="3"/>
        <v>6.1040222268662809</v>
      </c>
      <c r="K50" s="99">
        <v>229344.5</v>
      </c>
      <c r="L50" s="100">
        <f t="shared" si="4"/>
        <v>1.9880184613103866</v>
      </c>
      <c r="M50" s="99">
        <v>59461.8</v>
      </c>
      <c r="N50" s="99">
        <v>52481.599999999999</v>
      </c>
      <c r="O50" s="100">
        <f t="shared" si="5"/>
        <v>1.1330028047925369</v>
      </c>
      <c r="P50" s="108"/>
      <c r="Q50" s="108"/>
      <c r="R50" s="108"/>
      <c r="S50" s="26"/>
    </row>
    <row r="51" spans="1:19" ht="18.75" x14ac:dyDescent="0.3">
      <c r="A51" s="8" t="s">
        <v>113</v>
      </c>
      <c r="B51" s="125" t="s">
        <v>102</v>
      </c>
      <c r="C51" s="99">
        <f>муниц!C50+'Лен '!C47+Высокор!C39+Новотр!C40</f>
        <v>91864.5</v>
      </c>
      <c r="D51" s="117">
        <f>муниц!D50+Новотр!D40</f>
        <v>-72015.469000000012</v>
      </c>
      <c r="E51" s="101">
        <f>C51+D51</f>
        <v>19849.030999999988</v>
      </c>
      <c r="F51" s="99"/>
      <c r="G51" s="215">
        <f>муниц!G50+Высокор!G39+Новотр!G40</f>
        <v>10196</v>
      </c>
      <c r="H51" s="215">
        <f>G51+M51</f>
        <v>10824.5</v>
      </c>
      <c r="I51" s="100">
        <f t="shared" si="2"/>
        <v>0.54534148291672302</v>
      </c>
      <c r="J51" s="100"/>
      <c r="K51" s="99">
        <v>781.7</v>
      </c>
      <c r="L51" s="100">
        <f t="shared" si="4"/>
        <v>13.847383906869643</v>
      </c>
      <c r="M51" s="99">
        <f>муниц!M50+Высокор!M39+Новотр!M40</f>
        <v>628.5</v>
      </c>
      <c r="N51" s="99">
        <f>муниц!N50+Высокор!N39</f>
        <v>700</v>
      </c>
      <c r="O51" s="100">
        <f t="shared" si="5"/>
        <v>0.89785714285714291</v>
      </c>
      <c r="P51" s="108"/>
      <c r="Q51" s="108"/>
      <c r="R51" s="108"/>
      <c r="S51" s="26"/>
    </row>
    <row r="52" spans="1:19" ht="18" x14ac:dyDescent="0.25">
      <c r="A52" s="13" t="s">
        <v>46</v>
      </c>
      <c r="B52" s="24" t="s">
        <v>39</v>
      </c>
      <c r="C52" s="97">
        <f>муниц!C51+Высокор!C40+Новотр!C41</f>
        <v>11.7</v>
      </c>
      <c r="D52" s="164">
        <f>муниц!D51+'Лен '!D47+Высокор!D39+Гост!D40+Новотр!D41+Черн!D41</f>
        <v>9958.4</v>
      </c>
      <c r="E52" s="101">
        <f>C52+D52</f>
        <v>9970.1</v>
      </c>
      <c r="F52" s="97">
        <f>муниц!F50+'Лен '!F47+Высокор!F39+Гост!F40+Новотр!F40+Черн!F41</f>
        <v>0</v>
      </c>
      <c r="G52" s="216">
        <f>муниц!G51+Высокор!G40+Новотр!G41+'Лен '!G47+Гост!G40+Черн!G41</f>
        <v>7937.2</v>
      </c>
      <c r="H52" s="215">
        <f>G52+M52</f>
        <v>9694.7999999999993</v>
      </c>
      <c r="I52" s="100">
        <f>IF(E52&gt;0,H52/E52,0)</f>
        <v>0.97238743844093833</v>
      </c>
      <c r="J52" s="100">
        <f>IF(F52&gt;0,H52/F52,0)</f>
        <v>0</v>
      </c>
      <c r="K52" s="97">
        <v>95.3</v>
      </c>
      <c r="L52" s="100">
        <f t="shared" si="4"/>
        <v>101.7292759706191</v>
      </c>
      <c r="M52" s="97">
        <f>муниц!M51+Высокор!M40+Новотр!M41+'Лен '!M47+Гост!M40+Черн!M41</f>
        <v>1757.6</v>
      </c>
      <c r="N52" s="97">
        <f>муниц!N51+Высокор!N40+Новотр!N41</f>
        <v>0.6</v>
      </c>
      <c r="O52" s="100">
        <f t="shared" si="5"/>
        <v>2929.3333333333335</v>
      </c>
      <c r="P52" s="108"/>
      <c r="Q52" s="108"/>
      <c r="R52" s="108"/>
      <c r="S52" s="26"/>
    </row>
    <row r="53" spans="1:19" ht="18" x14ac:dyDescent="0.25">
      <c r="A53" s="8" t="s">
        <v>116</v>
      </c>
      <c r="B53" s="144" t="s">
        <v>115</v>
      </c>
      <c r="C53" s="97"/>
      <c r="D53" s="164"/>
      <c r="E53" s="101"/>
      <c r="F53" s="97"/>
      <c r="G53" s="216">
        <f>муниц!G52+Высокор!G41+Гост!G41+Новотр!G42</f>
        <v>-1.1000000000000001</v>
      </c>
      <c r="H53" s="215">
        <f>G53+M53</f>
        <v>0</v>
      </c>
      <c r="I53" s="100"/>
      <c r="J53" s="100"/>
      <c r="K53" s="97"/>
      <c r="L53" s="100"/>
      <c r="M53" s="97">
        <f>муниц!M52+Высокор!M41+Гост!M41+Новотр!M42</f>
        <v>1.1000000000000001</v>
      </c>
      <c r="N53" s="97"/>
      <c r="O53" s="100"/>
      <c r="P53" s="108"/>
      <c r="Q53" s="108"/>
      <c r="R53" s="108"/>
      <c r="S53" s="26"/>
    </row>
    <row r="54" spans="1:19" ht="21" customHeight="1" x14ac:dyDescent="0.3">
      <c r="A54" s="8" t="s">
        <v>93</v>
      </c>
      <c r="B54" s="125" t="s">
        <v>94</v>
      </c>
      <c r="C54" s="97"/>
      <c r="D54" s="97">
        <f>муниц!D53</f>
        <v>0</v>
      </c>
      <c r="E54" s="118">
        <f>C54+D54</f>
        <v>0</v>
      </c>
      <c r="F54" s="97"/>
      <c r="G54" s="216">
        <f>муниц!G53+'Лен '!G49</f>
        <v>-6</v>
      </c>
      <c r="H54" s="215">
        <f>G54+M54</f>
        <v>-6</v>
      </c>
      <c r="I54" s="100"/>
      <c r="J54" s="100"/>
      <c r="K54" s="97">
        <v>-5</v>
      </c>
      <c r="L54" s="100">
        <f t="shared" si="4"/>
        <v>0</v>
      </c>
      <c r="M54" s="97">
        <f>муниц!M53+'Лен '!M49</f>
        <v>0</v>
      </c>
      <c r="N54" s="97">
        <f>муниц!N53</f>
        <v>-5</v>
      </c>
      <c r="O54" s="100"/>
      <c r="P54" s="108"/>
      <c r="Q54" s="108"/>
      <c r="R54" s="108"/>
      <c r="S54" s="26"/>
    </row>
    <row r="55" spans="1:19" ht="18" x14ac:dyDescent="0.25">
      <c r="A55" s="16" t="s">
        <v>2</v>
      </c>
      <c r="B55" s="25"/>
      <c r="C55" s="115">
        <f t="shared" ref="C55:F55" si="20">C49+C50+C51+C52+C54</f>
        <v>723695.58199999994</v>
      </c>
      <c r="D55" s="115">
        <f t="shared" si="20"/>
        <v>70551.631999999983</v>
      </c>
      <c r="E55" s="112">
        <f t="shared" si="20"/>
        <v>794247.21399999992</v>
      </c>
      <c r="F55" s="115">
        <f t="shared" si="20"/>
        <v>106166.59</v>
      </c>
      <c r="G55" s="217">
        <f>G49+G50+G51+G52+G54+G53</f>
        <v>516960.3</v>
      </c>
      <c r="H55" s="217">
        <f>H49+H50+H51+H52+H54+H53</f>
        <v>584761.1</v>
      </c>
      <c r="I55" s="116">
        <f t="shared" si="2"/>
        <v>0.73624570498021291</v>
      </c>
      <c r="J55" s="116">
        <f t="shared" si="3"/>
        <v>5.5079578236430127</v>
      </c>
      <c r="K55" s="115">
        <f>K49+K50+K51+K52+K54</f>
        <v>314351.8</v>
      </c>
      <c r="L55" s="116">
        <f t="shared" si="4"/>
        <v>1.8602123480762636</v>
      </c>
      <c r="M55" s="115">
        <f>M49+M50+M51+M52+M54+M53</f>
        <v>67800.800000000017</v>
      </c>
      <c r="N55" s="115">
        <f>N49+N50+N51+N52+N54</f>
        <v>58473.299999999996</v>
      </c>
      <c r="O55" s="116">
        <f t="shared" si="5"/>
        <v>1.1595172497533066</v>
      </c>
      <c r="P55" s="113">
        <f>P49+P50</f>
        <v>5661.6</v>
      </c>
      <c r="Q55" s="113">
        <f>Q49+Q50</f>
        <v>3740.8999999999996</v>
      </c>
      <c r="R55" s="113">
        <f>R49+R50</f>
        <v>3837.3999999999996</v>
      </c>
      <c r="S55" s="26"/>
    </row>
    <row r="56" spans="1:19" ht="15" x14ac:dyDescent="0.2">
      <c r="B56" s="26"/>
      <c r="C56" s="26"/>
      <c r="D56" s="26"/>
      <c r="E56" s="26"/>
      <c r="F56" s="26"/>
      <c r="G56" s="26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15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9" ht="15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9" ht="15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9" ht="15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9" ht="15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9" ht="15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9" ht="15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9" ht="15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2:18" ht="15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2:18" ht="15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2:18" ht="15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2:18" ht="15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2:18" ht="15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2:18" ht="15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2:18" ht="15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2:18" ht="15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2:18" ht="15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2:18" ht="15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2:18" ht="15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2:18" ht="15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2:18" ht="15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2:18" ht="15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2:18" ht="15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2:18" ht="15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2:18" ht="15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2:18" ht="15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2:18" ht="15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2:18" ht="15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2:18" ht="15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2:18" ht="15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2:18" ht="15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</sheetData>
  <mergeCells count="15">
    <mergeCell ref="A1:R1"/>
    <mergeCell ref="A2:R2"/>
    <mergeCell ref="K3:L3"/>
    <mergeCell ref="P3:R3"/>
    <mergeCell ref="M3:M4"/>
    <mergeCell ref="N3:N4"/>
    <mergeCell ref="O3:O4"/>
    <mergeCell ref="H3:J3"/>
    <mergeCell ref="A3:A4"/>
    <mergeCell ref="B3:B4"/>
    <mergeCell ref="D3:D4"/>
    <mergeCell ref="E3:E4"/>
    <mergeCell ref="G3:G4"/>
    <mergeCell ref="F3:F4"/>
    <mergeCell ref="C3:C4"/>
  </mergeCells>
  <phoneticPr fontId="0" type="noConversion"/>
  <pageMargins left="0.35433070866141736" right="0.15748031496062992" top="0.59055118110236227" bottom="0.19685039370078741" header="0.51181102362204722" footer="0.51181102362204722"/>
  <pageSetup paperSize="9" scale="52" fitToWidth="0" orientation="landscape" r:id="rId1"/>
  <headerFooter alignWithMargins="0"/>
  <rowBreaks count="1" manualBreakCount="1">
    <brk id="5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муниц</vt:lpstr>
      <vt:lpstr>Лен </vt:lpstr>
      <vt:lpstr>Высокор</vt:lpstr>
      <vt:lpstr>Гост</vt:lpstr>
      <vt:lpstr>Новотр</vt:lpstr>
      <vt:lpstr>Черн</vt:lpstr>
      <vt:lpstr>консолид</vt:lpstr>
      <vt:lpstr>консолид!Область_печати</vt:lpstr>
      <vt:lpstr>муниц!Область_печати</vt:lpstr>
      <vt:lpstr>Черн!Область_печати</vt:lpstr>
    </vt:vector>
  </TitlesOfParts>
  <Company>Шабалино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ОПД</dc:creator>
  <cp:lastModifiedBy>User</cp:lastModifiedBy>
  <cp:lastPrinted>2024-07-03T10:06:53Z</cp:lastPrinted>
  <dcterms:created xsi:type="dcterms:W3CDTF">2003-11-05T12:49:21Z</dcterms:created>
  <dcterms:modified xsi:type="dcterms:W3CDTF">2024-10-15T14:06:56Z</dcterms:modified>
</cp:coreProperties>
</file>