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440" windowHeight="15390" activeTab="6"/>
  </bookViews>
  <sheets>
    <sheet name="муниц" sheetId="1" r:id="rId1"/>
    <sheet name="Лен " sheetId="2" r:id="rId2"/>
    <sheet name="Высокор" sheetId="3" r:id="rId3"/>
    <sheet name="Гост" sheetId="6" r:id="rId4"/>
    <sheet name="Новотр" sheetId="8" r:id="rId5"/>
    <sheet name="Черн" sheetId="7" r:id="rId6"/>
    <sheet name="консолид" sheetId="9" r:id="rId7"/>
  </sheets>
  <definedNames>
    <definedName name="_xlnm.Print_Area" localSheetId="6">консолид!$A$1:$S$55</definedName>
    <definedName name="_xlnm.Print_Area" localSheetId="0">муниц!$A$1:$R$55</definedName>
    <definedName name="_xlnm.Print_Area" localSheetId="4">Новотр!$A$1:$S$46</definedName>
    <definedName name="_xlnm.Print_Area" localSheetId="5">Черн!$A$1:$R$42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" i="9"/>
  <c r="Q35"/>
  <c r="P35"/>
  <c r="N32" l="1"/>
  <c r="N11"/>
  <c r="K32"/>
  <c r="D50" l="1"/>
  <c r="M32" l="1"/>
  <c r="O26" i="3"/>
  <c r="L26"/>
  <c r="H26"/>
  <c r="P25"/>
  <c r="F25"/>
  <c r="G25"/>
  <c r="N25"/>
  <c r="M25"/>
  <c r="K25"/>
  <c r="I26"/>
  <c r="C25"/>
  <c r="E25"/>
  <c r="D42" i="1"/>
  <c r="D6"/>
  <c r="D31" l="1"/>
  <c r="D39" i="8" l="1"/>
  <c r="D41" l="1"/>
  <c r="G19"/>
  <c r="D39" i="6" l="1"/>
  <c r="D46" i="2" l="1"/>
  <c r="D39"/>
  <c r="D27"/>
  <c r="D13" i="3" l="1"/>
  <c r="D11"/>
  <c r="D28"/>
  <c r="D40"/>
  <c r="D29" i="7"/>
  <c r="D40"/>
  <c r="D40" i="1"/>
  <c r="D30" l="1"/>
  <c r="D49"/>
  <c r="M20" i="2"/>
  <c r="G20"/>
  <c r="K20" l="1"/>
  <c r="N6"/>
  <c r="G34" i="1" l="1"/>
  <c r="G53" i="9"/>
  <c r="M53"/>
  <c r="I48" i="2"/>
  <c r="H48"/>
  <c r="G43" i="1"/>
  <c r="K52" i="9" l="1"/>
  <c r="D37" i="2" l="1"/>
  <c r="N44" i="9"/>
  <c r="M44"/>
  <c r="K43"/>
  <c r="G43"/>
  <c r="D43"/>
  <c r="C43"/>
  <c r="O32" i="3"/>
  <c r="L32"/>
  <c r="H32"/>
  <c r="E31"/>
  <c r="E32"/>
  <c r="D34" i="9"/>
  <c r="N54"/>
  <c r="N51"/>
  <c r="K11"/>
  <c r="I32" i="3" l="1"/>
  <c r="M6" i="7"/>
  <c r="M43" i="1"/>
  <c r="Q18" i="6" l="1"/>
  <c r="G18" i="3"/>
  <c r="C50" i="9" l="1"/>
  <c r="H42" i="8"/>
  <c r="I42"/>
  <c r="L42"/>
  <c r="G6" i="7"/>
  <c r="K6" i="2" l="1"/>
  <c r="E28" i="7" l="1"/>
  <c r="D50" i="1"/>
  <c r="R6" i="7"/>
  <c r="Q6"/>
  <c r="P6"/>
  <c r="R6" i="8"/>
  <c r="P6"/>
  <c r="R6" i="2"/>
  <c r="Q6"/>
  <c r="P6"/>
  <c r="R5" i="1"/>
  <c r="Q5"/>
  <c r="P5"/>
  <c r="R18" i="6"/>
  <c r="R19" i="8"/>
  <c r="R18" i="3"/>
  <c r="R20" i="2"/>
  <c r="N42" i="9"/>
  <c r="M42"/>
  <c r="K42"/>
  <c r="G42"/>
  <c r="F42"/>
  <c r="D42"/>
  <c r="C42"/>
  <c r="G32" l="1"/>
  <c r="D32"/>
  <c r="C32"/>
  <c r="O28" i="7"/>
  <c r="K28"/>
  <c r="H28"/>
  <c r="I28" s="1"/>
  <c r="N26"/>
  <c r="M26"/>
  <c r="G26"/>
  <c r="F26"/>
  <c r="C26"/>
  <c r="L28" l="1"/>
  <c r="C38" i="1"/>
  <c r="N38"/>
  <c r="M38"/>
  <c r="K38"/>
  <c r="G38"/>
  <c r="F38"/>
  <c r="D38"/>
  <c r="O39" l="1"/>
  <c r="L39"/>
  <c r="I39"/>
  <c r="H39"/>
  <c r="Q20" i="2" l="1"/>
  <c r="N20" l="1"/>
  <c r="Q19" i="8"/>
  <c r="Q18" s="1"/>
  <c r="Q34" i="7"/>
  <c r="Q26"/>
  <c r="Q25" s="1"/>
  <c r="Q19"/>
  <c r="Q18" s="1"/>
  <c r="Q16"/>
  <c r="Q11"/>
  <c r="Q32" i="8"/>
  <c r="Q25"/>
  <c r="Q15"/>
  <c r="Q6"/>
  <c r="Q34" i="3"/>
  <c r="Q25"/>
  <c r="Q24" s="1"/>
  <c r="Q18"/>
  <c r="Q17" s="1"/>
  <c r="Q15"/>
  <c r="Q10"/>
  <c r="Q6"/>
  <c r="Q40" i="2"/>
  <c r="Q35"/>
  <c r="Q32"/>
  <c r="Q26"/>
  <c r="Q19"/>
  <c r="Q17"/>
  <c r="Q12"/>
  <c r="Q43" i="1"/>
  <c r="Q38"/>
  <c r="Q34"/>
  <c r="Q26"/>
  <c r="Q16"/>
  <c r="Q11"/>
  <c r="Q33" i="6"/>
  <c r="Q25"/>
  <c r="Q24" s="1"/>
  <c r="Q17"/>
  <c r="Q15"/>
  <c r="Q10"/>
  <c r="Q6"/>
  <c r="Q25" i="2" l="1"/>
  <c r="Q24" i="8"/>
  <c r="Q5"/>
  <c r="Q37" s="1"/>
  <c r="Q43" s="1"/>
  <c r="Q4" i="1"/>
  <c r="Q5" i="6"/>
  <c r="Q37" s="1"/>
  <c r="Q42" s="1"/>
  <c r="Q5" i="7"/>
  <c r="Q38" s="1"/>
  <c r="Q42" s="1"/>
  <c r="Q25" i="1"/>
  <c r="Q5" i="2"/>
  <c r="Q5" i="3"/>
  <c r="Q38" s="1"/>
  <c r="Q44" s="1"/>
  <c r="C48" i="9"/>
  <c r="E43" i="2"/>
  <c r="M51" i="9"/>
  <c r="M11"/>
  <c r="G11"/>
  <c r="G7"/>
  <c r="G6" i="8"/>
  <c r="Q44" i="2" l="1"/>
  <c r="Q51" s="1"/>
  <c r="Q47" i="1"/>
  <c r="Q54" s="1"/>
  <c r="N6" i="8"/>
  <c r="M6"/>
  <c r="O10"/>
  <c r="L10"/>
  <c r="I10"/>
  <c r="H10"/>
  <c r="G33" i="6" l="1"/>
  <c r="M33"/>
  <c r="K34" i="7" l="1"/>
  <c r="K19"/>
  <c r="K18" s="1"/>
  <c r="K16"/>
  <c r="K33" i="8"/>
  <c r="K26"/>
  <c r="K19"/>
  <c r="K18" s="1"/>
  <c r="K16"/>
  <c r="K11"/>
  <c r="K33" i="6"/>
  <c r="K25"/>
  <c r="K24" s="1"/>
  <c r="K18"/>
  <c r="K17" s="1"/>
  <c r="K15"/>
  <c r="K10"/>
  <c r="K34" i="3"/>
  <c r="K18"/>
  <c r="K17" s="1"/>
  <c r="K15"/>
  <c r="K10"/>
  <c r="K40" i="2"/>
  <c r="K35"/>
  <c r="K32"/>
  <c r="K19"/>
  <c r="K17"/>
  <c r="K43" i="1"/>
  <c r="K34"/>
  <c r="K16"/>
  <c r="K24" i="3" l="1"/>
  <c r="K25" i="8"/>
  <c r="N19" i="7"/>
  <c r="N18" s="1"/>
  <c r="N16"/>
  <c r="N26" i="8"/>
  <c r="N19"/>
  <c r="N18" s="1"/>
  <c r="N16"/>
  <c r="N11"/>
  <c r="N33" i="6"/>
  <c r="N25"/>
  <c r="N18"/>
  <c r="N17" s="1"/>
  <c r="N15"/>
  <c r="N10"/>
  <c r="N34" i="3"/>
  <c r="N24"/>
  <c r="N18"/>
  <c r="N17" s="1"/>
  <c r="N15"/>
  <c r="N10"/>
  <c r="N32" i="2"/>
  <c r="N19"/>
  <c r="N17"/>
  <c r="N43" i="1"/>
  <c r="N34"/>
  <c r="N16"/>
  <c r="N24" i="6" l="1"/>
  <c r="H53" i="9"/>
  <c r="H41" i="6"/>
  <c r="I43" i="3"/>
  <c r="H43"/>
  <c r="D26" i="7" l="1"/>
  <c r="K26"/>
  <c r="K25" s="1"/>
  <c r="K11"/>
  <c r="N34" l="1"/>
  <c r="N33" i="8"/>
  <c r="N25" s="1"/>
  <c r="N35" i="2"/>
  <c r="G54" i="9" l="1"/>
  <c r="G19" i="7"/>
  <c r="G18" s="1"/>
  <c r="D51" i="1"/>
  <c r="D52" i="9" s="1"/>
  <c r="D51"/>
  <c r="M54"/>
  <c r="G52"/>
  <c r="M52"/>
  <c r="G34" i="7"/>
  <c r="G16"/>
  <c r="G11"/>
  <c r="G33" i="8"/>
  <c r="G26"/>
  <c r="G18"/>
  <c r="G16"/>
  <c r="G11"/>
  <c r="G25" i="6"/>
  <c r="G18"/>
  <c r="G17" s="1"/>
  <c r="G15"/>
  <c r="G10"/>
  <c r="G34" i="3"/>
  <c r="G17"/>
  <c r="G15"/>
  <c r="G10"/>
  <c r="G26" i="1"/>
  <c r="G16"/>
  <c r="G11"/>
  <c r="K48" i="9"/>
  <c r="G24" i="3" l="1"/>
  <c r="G25" i="8"/>
  <c r="G25" i="1"/>
  <c r="G25" i="7"/>
  <c r="G24" i="6"/>
  <c r="N52" i="9"/>
  <c r="N48"/>
  <c r="N25" i="7"/>
  <c r="R11" i="9" l="1"/>
  <c r="Q11"/>
  <c r="P11"/>
  <c r="P19" i="7"/>
  <c r="R19"/>
  <c r="P19" i="8"/>
  <c r="P18" s="1"/>
  <c r="P16"/>
  <c r="P11"/>
  <c r="P18" i="6"/>
  <c r="P17" s="1"/>
  <c r="P15"/>
  <c r="P10"/>
  <c r="P18" i="3"/>
  <c r="P17" s="1"/>
  <c r="P15"/>
  <c r="P10"/>
  <c r="P26" i="2"/>
  <c r="P20"/>
  <c r="P19" s="1"/>
  <c r="P17"/>
  <c r="P12"/>
  <c r="P28" i="1"/>
  <c r="P26" s="1"/>
  <c r="P16"/>
  <c r="P11"/>
  <c r="N40" i="2" l="1"/>
  <c r="H41" i="8" l="1"/>
  <c r="C20" i="2" l="1"/>
  <c r="C30" i="1"/>
  <c r="D11" i="9"/>
  <c r="K26" i="2" l="1"/>
  <c r="K25" l="1"/>
  <c r="D29" i="8" l="1"/>
  <c r="G6" i="2" l="1"/>
  <c r="E11"/>
  <c r="I11" s="1"/>
  <c r="H11"/>
  <c r="L11" s="1"/>
  <c r="M6"/>
  <c r="O51" i="1" l="1"/>
  <c r="O10" l="1"/>
  <c r="O9"/>
  <c r="O11" i="9"/>
  <c r="C11"/>
  <c r="E10" i="2"/>
  <c r="C10" i="9"/>
  <c r="N6" i="7"/>
  <c r="K6"/>
  <c r="D6"/>
  <c r="C6"/>
  <c r="O10"/>
  <c r="L10"/>
  <c r="H10"/>
  <c r="E10"/>
  <c r="I10" s="1"/>
  <c r="N5" i="1"/>
  <c r="M5"/>
  <c r="K5"/>
  <c r="G5"/>
  <c r="C5"/>
  <c r="D5"/>
  <c r="H10"/>
  <c r="L10" s="1"/>
  <c r="E10"/>
  <c r="E9"/>
  <c r="O10" i="2"/>
  <c r="K26" i="1"/>
  <c r="K25" s="1"/>
  <c r="N11" i="7"/>
  <c r="D48" i="9"/>
  <c r="I10" i="1" l="1"/>
  <c r="N5" i="7"/>
  <c r="N38" s="1"/>
  <c r="N39" s="1"/>
  <c r="H11" i="9"/>
  <c r="L11" s="1"/>
  <c r="E11"/>
  <c r="I11" l="1"/>
  <c r="K34"/>
  <c r="N34" l="1"/>
  <c r="G51"/>
  <c r="C52"/>
  <c r="C51"/>
  <c r="O41" i="8"/>
  <c r="L41"/>
  <c r="E41"/>
  <c r="I41" s="1"/>
  <c r="O42" i="3"/>
  <c r="H42"/>
  <c r="L42" s="1"/>
  <c r="E42"/>
  <c r="I42" l="1"/>
  <c r="O37" i="7"/>
  <c r="H37"/>
  <c r="L37" s="1"/>
  <c r="O36" i="6"/>
  <c r="L36"/>
  <c r="H36"/>
  <c r="O37" i="3"/>
  <c r="L37"/>
  <c r="H37"/>
  <c r="G48" i="9"/>
  <c r="M48"/>
  <c r="O36" i="8" l="1"/>
  <c r="H36"/>
  <c r="L36" s="1"/>
  <c r="G40" i="2" l="1"/>
  <c r="G35"/>
  <c r="G32"/>
  <c r="G26"/>
  <c r="G19"/>
  <c r="G17"/>
  <c r="G12"/>
  <c r="K12"/>
  <c r="K11" i="1"/>
  <c r="D10" i="9"/>
  <c r="E10" s="1"/>
  <c r="G10"/>
  <c r="K10"/>
  <c r="N10"/>
  <c r="M10"/>
  <c r="I10" i="2"/>
  <c r="H10"/>
  <c r="L10" s="1"/>
  <c r="I9" i="1"/>
  <c r="H9"/>
  <c r="L9" s="1"/>
  <c r="O10" i="9" l="1"/>
  <c r="G25" i="2"/>
  <c r="H10" i="9"/>
  <c r="I10" s="1"/>
  <c r="M34" i="7"/>
  <c r="F34"/>
  <c r="D34"/>
  <c r="C34"/>
  <c r="E37"/>
  <c r="I37" s="1"/>
  <c r="C19"/>
  <c r="C18" s="1"/>
  <c r="C16"/>
  <c r="C11"/>
  <c r="M33" i="8"/>
  <c r="F33"/>
  <c r="D33"/>
  <c r="E36"/>
  <c r="I36" s="1"/>
  <c r="C33"/>
  <c r="C19"/>
  <c r="C18" s="1"/>
  <c r="C16"/>
  <c r="C11"/>
  <c r="D33" i="6"/>
  <c r="E36"/>
  <c r="I36" s="1"/>
  <c r="C33"/>
  <c r="L10" i="9" l="1"/>
  <c r="C18" i="6"/>
  <c r="C17" s="1"/>
  <c r="C15"/>
  <c r="C10"/>
  <c r="M34" i="3"/>
  <c r="D34"/>
  <c r="E37"/>
  <c r="I37" s="1"/>
  <c r="C34"/>
  <c r="R18" i="8"/>
  <c r="R16"/>
  <c r="R11"/>
  <c r="N12" i="2" l="1"/>
  <c r="N11" i="1"/>
  <c r="H20" i="3" l="1"/>
  <c r="N26" i="2"/>
  <c r="N25" s="1"/>
  <c r="H52" i="1"/>
  <c r="H8"/>
  <c r="L8" s="1"/>
  <c r="O16" i="7"/>
  <c r="O50" i="9"/>
  <c r="M10" i="6"/>
  <c r="N26" i="1"/>
  <c r="E51" i="9"/>
  <c r="G34"/>
  <c r="M34"/>
  <c r="M40" i="2"/>
  <c r="O46" i="1"/>
  <c r="H46"/>
  <c r="L46" s="1"/>
  <c r="H43" i="2"/>
  <c r="D40"/>
  <c r="K7" i="9"/>
  <c r="K8"/>
  <c r="K9"/>
  <c r="K13"/>
  <c r="K14"/>
  <c r="K15"/>
  <c r="K16"/>
  <c r="L16" s="1"/>
  <c r="K18"/>
  <c r="K19"/>
  <c r="K20"/>
  <c r="K21"/>
  <c r="K22"/>
  <c r="K24"/>
  <c r="K25"/>
  <c r="K27"/>
  <c r="K28"/>
  <c r="L28" s="1"/>
  <c r="K31"/>
  <c r="L31" s="1"/>
  <c r="K33"/>
  <c r="K35"/>
  <c r="K36"/>
  <c r="K38"/>
  <c r="K39"/>
  <c r="K40"/>
  <c r="K44"/>
  <c r="K46"/>
  <c r="P18" i="7"/>
  <c r="P16"/>
  <c r="P11"/>
  <c r="O52" i="9"/>
  <c r="H32" i="1"/>
  <c r="L32" s="1"/>
  <c r="E46"/>
  <c r="C18" i="3"/>
  <c r="C26" i="9" s="1"/>
  <c r="C34"/>
  <c r="O43" i="1"/>
  <c r="F43"/>
  <c r="D43"/>
  <c r="C43"/>
  <c r="L54" i="9"/>
  <c r="C40" i="2"/>
  <c r="C35"/>
  <c r="C32"/>
  <c r="C26"/>
  <c r="C19"/>
  <c r="C17"/>
  <c r="C12"/>
  <c r="L15" i="6"/>
  <c r="O31" i="1"/>
  <c r="H31"/>
  <c r="L31" s="1"/>
  <c r="E31"/>
  <c r="D21" i="9"/>
  <c r="R18" i="7"/>
  <c r="R16"/>
  <c r="R11"/>
  <c r="R17" i="6"/>
  <c r="R15"/>
  <c r="R10"/>
  <c r="R17" i="3"/>
  <c r="R15"/>
  <c r="R10"/>
  <c r="R26" i="2"/>
  <c r="R19"/>
  <c r="R17"/>
  <c r="R12"/>
  <c r="R26" i="1"/>
  <c r="R16"/>
  <c r="R4" s="1"/>
  <c r="R11"/>
  <c r="E49"/>
  <c r="D54" i="9"/>
  <c r="E54" s="1"/>
  <c r="E23" i="1"/>
  <c r="H21" i="7"/>
  <c r="L21" s="1"/>
  <c r="H20"/>
  <c r="L20" s="1"/>
  <c r="E21" i="2"/>
  <c r="H6" i="1"/>
  <c r="L6" s="1"/>
  <c r="M14" i="9"/>
  <c r="M15"/>
  <c r="M16"/>
  <c r="M13"/>
  <c r="M16" i="1"/>
  <c r="E30" i="7"/>
  <c r="M12" i="2"/>
  <c r="O12" s="1"/>
  <c r="O38" i="1"/>
  <c r="E7" i="7"/>
  <c r="H29" i="2"/>
  <c r="E39" i="6"/>
  <c r="M34" i="1"/>
  <c r="O34" s="1"/>
  <c r="H49" i="2"/>
  <c r="E49"/>
  <c r="I49" s="1"/>
  <c r="M15" i="6"/>
  <c r="M18"/>
  <c r="M17" s="1"/>
  <c r="M25"/>
  <c r="O25" s="1"/>
  <c r="O33"/>
  <c r="M10" i="3"/>
  <c r="O10" s="1"/>
  <c r="M15"/>
  <c r="M18"/>
  <c r="M17" s="1"/>
  <c r="M24"/>
  <c r="M26" i="2"/>
  <c r="F26"/>
  <c r="J26" s="1"/>
  <c r="D26"/>
  <c r="E29"/>
  <c r="K5" i="7"/>
  <c r="K38" s="1"/>
  <c r="K39" s="1"/>
  <c r="F6"/>
  <c r="J6" s="1"/>
  <c r="R5" i="8"/>
  <c r="P5"/>
  <c r="F6"/>
  <c r="J6" s="1"/>
  <c r="D6"/>
  <c r="C6"/>
  <c r="R6" i="6"/>
  <c r="P6"/>
  <c r="N6"/>
  <c r="M6"/>
  <c r="K6"/>
  <c r="K5" s="1"/>
  <c r="K37" s="1"/>
  <c r="K38" s="1"/>
  <c r="G6"/>
  <c r="D6"/>
  <c r="C6"/>
  <c r="R6" i="3"/>
  <c r="P6"/>
  <c r="N6"/>
  <c r="M6"/>
  <c r="K6"/>
  <c r="K5" s="1"/>
  <c r="K38" s="1"/>
  <c r="K39" s="1"/>
  <c r="G6"/>
  <c r="D6"/>
  <c r="C6"/>
  <c r="E40"/>
  <c r="E50" i="2"/>
  <c r="E51" i="1"/>
  <c r="R21" i="9"/>
  <c r="R28"/>
  <c r="D39"/>
  <c r="O15" i="6"/>
  <c r="D35" i="9"/>
  <c r="M19" i="2"/>
  <c r="P33" i="9"/>
  <c r="P26" i="8"/>
  <c r="R26"/>
  <c r="Q7" i="9"/>
  <c r="Q8"/>
  <c r="Q9"/>
  <c r="Q13"/>
  <c r="Q14"/>
  <c r="Q15"/>
  <c r="Q16"/>
  <c r="Q18"/>
  <c r="Q19"/>
  <c r="Q20"/>
  <c r="Q21"/>
  <c r="Q22"/>
  <c r="Q24"/>
  <c r="Q25"/>
  <c r="Q28"/>
  <c r="Q33"/>
  <c r="M22"/>
  <c r="M21"/>
  <c r="M20"/>
  <c r="E35" i="1"/>
  <c r="D19" i="9"/>
  <c r="H51" i="1"/>
  <c r="L51" s="1"/>
  <c r="H50" i="2"/>
  <c r="N39" i="9"/>
  <c r="C39"/>
  <c r="R35" i="2"/>
  <c r="P35"/>
  <c r="P25" s="1"/>
  <c r="M35"/>
  <c r="O35" s="1"/>
  <c r="D35"/>
  <c r="E35" s="1"/>
  <c r="O33"/>
  <c r="R32"/>
  <c r="P32"/>
  <c r="M32"/>
  <c r="O32" s="1"/>
  <c r="D32"/>
  <c r="N43" i="9"/>
  <c r="M43"/>
  <c r="C41"/>
  <c r="O38" i="2"/>
  <c r="H38"/>
  <c r="L38" s="1"/>
  <c r="J38"/>
  <c r="E38"/>
  <c r="D38" i="9"/>
  <c r="H49" i="1"/>
  <c r="L49" s="1"/>
  <c r="M39" i="9"/>
  <c r="G39"/>
  <c r="H33" i="2"/>
  <c r="E33"/>
  <c r="D44" i="9"/>
  <c r="M26" i="1"/>
  <c r="O26" s="1"/>
  <c r="O53"/>
  <c r="E39" i="2"/>
  <c r="E37"/>
  <c r="E29" i="3"/>
  <c r="H7" i="2"/>
  <c r="L7" s="1"/>
  <c r="M36" i="9"/>
  <c r="E29" i="8"/>
  <c r="I29" s="1"/>
  <c r="M19"/>
  <c r="M18" s="1"/>
  <c r="G13" i="9"/>
  <c r="G14"/>
  <c r="G15"/>
  <c r="G16"/>
  <c r="G18"/>
  <c r="G19"/>
  <c r="G20"/>
  <c r="G22"/>
  <c r="G24"/>
  <c r="G25"/>
  <c r="G27"/>
  <c r="G33"/>
  <c r="G35"/>
  <c r="G36"/>
  <c r="G38"/>
  <c r="F17" i="1"/>
  <c r="F18" i="9" s="1"/>
  <c r="F22" i="1"/>
  <c r="F25" i="9" s="1"/>
  <c r="F19" i="1"/>
  <c r="F20" i="9" s="1"/>
  <c r="F18" i="1"/>
  <c r="F19" i="9" s="1"/>
  <c r="F6" i="1"/>
  <c r="F7" i="9" s="1"/>
  <c r="C7"/>
  <c r="M7"/>
  <c r="N7"/>
  <c r="P7"/>
  <c r="R7"/>
  <c r="C8"/>
  <c r="D8"/>
  <c r="G8"/>
  <c r="M8"/>
  <c r="N8"/>
  <c r="P8"/>
  <c r="R8"/>
  <c r="C9"/>
  <c r="D9"/>
  <c r="G9"/>
  <c r="M9"/>
  <c r="N9"/>
  <c r="P9"/>
  <c r="R9"/>
  <c r="C13"/>
  <c r="D13"/>
  <c r="F13"/>
  <c r="J13" s="1"/>
  <c r="N13"/>
  <c r="P13"/>
  <c r="R13"/>
  <c r="C14"/>
  <c r="D14"/>
  <c r="F14"/>
  <c r="J14" s="1"/>
  <c r="N14"/>
  <c r="P14"/>
  <c r="R14"/>
  <c r="C15"/>
  <c r="D15"/>
  <c r="F15"/>
  <c r="J15" s="1"/>
  <c r="N15"/>
  <c r="P15"/>
  <c r="R15"/>
  <c r="C16"/>
  <c r="D16"/>
  <c r="F16"/>
  <c r="J16" s="1"/>
  <c r="N16"/>
  <c r="O16" s="1"/>
  <c r="P16"/>
  <c r="R16"/>
  <c r="C18"/>
  <c r="D18"/>
  <c r="M18"/>
  <c r="N18"/>
  <c r="P18"/>
  <c r="R18"/>
  <c r="C19"/>
  <c r="M19"/>
  <c r="N19"/>
  <c r="P19"/>
  <c r="R19"/>
  <c r="C20"/>
  <c r="D20"/>
  <c r="N20"/>
  <c r="P20"/>
  <c r="R20"/>
  <c r="C21"/>
  <c r="G21"/>
  <c r="N21"/>
  <c r="P21"/>
  <c r="C22"/>
  <c r="D22"/>
  <c r="N22"/>
  <c r="P22"/>
  <c r="R22"/>
  <c r="C24"/>
  <c r="D24"/>
  <c r="F24"/>
  <c r="J24" s="1"/>
  <c r="M24"/>
  <c r="N24"/>
  <c r="P24"/>
  <c r="R24"/>
  <c r="C25"/>
  <c r="D25"/>
  <c r="M25"/>
  <c r="N25"/>
  <c r="P25"/>
  <c r="R25"/>
  <c r="C27"/>
  <c r="M27"/>
  <c r="N27"/>
  <c r="C28"/>
  <c r="D28"/>
  <c r="F28"/>
  <c r="J28" s="1"/>
  <c r="G28"/>
  <c r="M28"/>
  <c r="N28"/>
  <c r="O28" s="1"/>
  <c r="P28"/>
  <c r="C31"/>
  <c r="D31"/>
  <c r="F31"/>
  <c r="J31" s="1"/>
  <c r="G31"/>
  <c r="M31"/>
  <c r="N31"/>
  <c r="O31" s="1"/>
  <c r="R32"/>
  <c r="C33"/>
  <c r="D33"/>
  <c r="M33"/>
  <c r="N33"/>
  <c r="R33"/>
  <c r="F34"/>
  <c r="J34" s="1"/>
  <c r="C35"/>
  <c r="F35"/>
  <c r="J35" s="1"/>
  <c r="M35"/>
  <c r="N35"/>
  <c r="C36"/>
  <c r="D36"/>
  <c r="N36"/>
  <c r="P37"/>
  <c r="Q37"/>
  <c r="R37"/>
  <c r="C38"/>
  <c r="M38"/>
  <c r="N38"/>
  <c r="C40"/>
  <c r="F40"/>
  <c r="J40" s="1"/>
  <c r="G40"/>
  <c r="M40"/>
  <c r="N40"/>
  <c r="J42"/>
  <c r="F43"/>
  <c r="J43" s="1"/>
  <c r="C44"/>
  <c r="G44"/>
  <c r="P45"/>
  <c r="Q45"/>
  <c r="R45"/>
  <c r="E46"/>
  <c r="I46" s="1"/>
  <c r="G46"/>
  <c r="J46"/>
  <c r="M46"/>
  <c r="N46"/>
  <c r="C47"/>
  <c r="C45" s="1"/>
  <c r="D47"/>
  <c r="D45" s="1"/>
  <c r="F47"/>
  <c r="F45" s="1"/>
  <c r="J45" s="1"/>
  <c r="G47"/>
  <c r="M47"/>
  <c r="F52"/>
  <c r="J52" s="1"/>
  <c r="H7" i="7"/>
  <c r="I7" s="1"/>
  <c r="J7"/>
  <c r="O7"/>
  <c r="E8"/>
  <c r="I8" s="1"/>
  <c r="H8"/>
  <c r="J8"/>
  <c r="L8"/>
  <c r="O8"/>
  <c r="E9"/>
  <c r="I9" s="1"/>
  <c r="H9"/>
  <c r="L9"/>
  <c r="J9"/>
  <c r="O9"/>
  <c r="D11"/>
  <c r="F11"/>
  <c r="J11" s="1"/>
  <c r="M11"/>
  <c r="O11" s="1"/>
  <c r="E12"/>
  <c r="H12"/>
  <c r="L12" s="1"/>
  <c r="J12"/>
  <c r="O12"/>
  <c r="E13"/>
  <c r="H13"/>
  <c r="L13" s="1"/>
  <c r="J13"/>
  <c r="O13"/>
  <c r="E14"/>
  <c r="H14"/>
  <c r="L14" s="1"/>
  <c r="J14"/>
  <c r="O14"/>
  <c r="E15"/>
  <c r="H15"/>
  <c r="J15"/>
  <c r="L15"/>
  <c r="O15"/>
  <c r="D16"/>
  <c r="F16"/>
  <c r="J16" s="1"/>
  <c r="M16"/>
  <c r="E17"/>
  <c r="E16" s="1"/>
  <c r="H17"/>
  <c r="H16" s="1"/>
  <c r="J17"/>
  <c r="O17"/>
  <c r="D19"/>
  <c r="D18" s="1"/>
  <c r="F19"/>
  <c r="J19" s="1"/>
  <c r="M19"/>
  <c r="M18" s="1"/>
  <c r="E20"/>
  <c r="J20"/>
  <c r="O20"/>
  <c r="E21"/>
  <c r="J21"/>
  <c r="O21"/>
  <c r="E22"/>
  <c r="H22"/>
  <c r="L22" s="1"/>
  <c r="J22"/>
  <c r="O22"/>
  <c r="E23"/>
  <c r="H23"/>
  <c r="L23" s="1"/>
  <c r="J23"/>
  <c r="O23"/>
  <c r="E24"/>
  <c r="I24" s="1"/>
  <c r="H24"/>
  <c r="J24"/>
  <c r="L24"/>
  <c r="O24"/>
  <c r="C25"/>
  <c r="J26"/>
  <c r="O26"/>
  <c r="P26"/>
  <c r="R26"/>
  <c r="E27"/>
  <c r="H27"/>
  <c r="L27"/>
  <c r="J27"/>
  <c r="O27"/>
  <c r="E29"/>
  <c r="H29"/>
  <c r="J29"/>
  <c r="O29"/>
  <c r="H30"/>
  <c r="L30" s="1"/>
  <c r="J30"/>
  <c r="O30"/>
  <c r="E31"/>
  <c r="I31" s="1"/>
  <c r="H31"/>
  <c r="J31"/>
  <c r="L31"/>
  <c r="O31"/>
  <c r="E32"/>
  <c r="I32" s="1"/>
  <c r="H32"/>
  <c r="J32"/>
  <c r="L32"/>
  <c r="O32"/>
  <c r="E33"/>
  <c r="H33"/>
  <c r="L33"/>
  <c r="J33"/>
  <c r="O33"/>
  <c r="J34"/>
  <c r="O34"/>
  <c r="P34"/>
  <c r="R34"/>
  <c r="E35"/>
  <c r="I35" s="1"/>
  <c r="H35"/>
  <c r="L35"/>
  <c r="J35"/>
  <c r="O35"/>
  <c r="E36"/>
  <c r="I36" s="1"/>
  <c r="H36"/>
  <c r="L36" s="1"/>
  <c r="J36"/>
  <c r="O36"/>
  <c r="E40"/>
  <c r="H40"/>
  <c r="L40" s="1"/>
  <c r="J40"/>
  <c r="O40"/>
  <c r="E41"/>
  <c r="I41" s="1"/>
  <c r="H41"/>
  <c r="J41"/>
  <c r="O41"/>
  <c r="K6" i="8"/>
  <c r="K5" s="1"/>
  <c r="K37" s="1"/>
  <c r="K38" s="1"/>
  <c r="H7"/>
  <c r="J7"/>
  <c r="O7"/>
  <c r="E8"/>
  <c r="I8" s="1"/>
  <c r="H8"/>
  <c r="J8"/>
  <c r="O8"/>
  <c r="E9"/>
  <c r="H9"/>
  <c r="L9" s="1"/>
  <c r="J9"/>
  <c r="O9"/>
  <c r="D11"/>
  <c r="J11"/>
  <c r="M11"/>
  <c r="O11" s="1"/>
  <c r="E12"/>
  <c r="H12"/>
  <c r="L12" s="1"/>
  <c r="J12"/>
  <c r="O12"/>
  <c r="E13"/>
  <c r="H13"/>
  <c r="L13" s="1"/>
  <c r="J13"/>
  <c r="O13"/>
  <c r="E14"/>
  <c r="H14"/>
  <c r="L14" s="1"/>
  <c r="J14"/>
  <c r="O14"/>
  <c r="E15"/>
  <c r="H15"/>
  <c r="J15"/>
  <c r="L15"/>
  <c r="O15"/>
  <c r="D16"/>
  <c r="F16"/>
  <c r="J16" s="1"/>
  <c r="M16"/>
  <c r="E17"/>
  <c r="E16" s="1"/>
  <c r="H17"/>
  <c r="J17"/>
  <c r="O17"/>
  <c r="D19"/>
  <c r="D18" s="1"/>
  <c r="F19"/>
  <c r="F18" s="1"/>
  <c r="E20"/>
  <c r="H20"/>
  <c r="L20" s="1"/>
  <c r="J20"/>
  <c r="O20"/>
  <c r="E21"/>
  <c r="H21"/>
  <c r="L21" s="1"/>
  <c r="J21"/>
  <c r="O21"/>
  <c r="E22"/>
  <c r="H22"/>
  <c r="L22" s="1"/>
  <c r="J22"/>
  <c r="O22"/>
  <c r="E23"/>
  <c r="H23"/>
  <c r="L23" s="1"/>
  <c r="J23"/>
  <c r="O23"/>
  <c r="E24"/>
  <c r="I24" s="1"/>
  <c r="H24"/>
  <c r="J24"/>
  <c r="L24"/>
  <c r="O24"/>
  <c r="C26"/>
  <c r="C25" s="1"/>
  <c r="D26"/>
  <c r="D25" s="1"/>
  <c r="F26"/>
  <c r="J26" s="1"/>
  <c r="M26"/>
  <c r="O26" s="1"/>
  <c r="E27"/>
  <c r="I27" s="1"/>
  <c r="H27"/>
  <c r="L27"/>
  <c r="J27"/>
  <c r="O27"/>
  <c r="E28"/>
  <c r="H28"/>
  <c r="L28" s="1"/>
  <c r="J28"/>
  <c r="O28"/>
  <c r="H29"/>
  <c r="L29" s="1"/>
  <c r="J29"/>
  <c r="O29"/>
  <c r="E30"/>
  <c r="I30" s="1"/>
  <c r="H30"/>
  <c r="L30"/>
  <c r="J30"/>
  <c r="O30"/>
  <c r="E31"/>
  <c r="I31" s="1"/>
  <c r="H31"/>
  <c r="L31"/>
  <c r="J31"/>
  <c r="O31"/>
  <c r="E32"/>
  <c r="I32" s="1"/>
  <c r="H32"/>
  <c r="L32"/>
  <c r="J32"/>
  <c r="O32"/>
  <c r="J33"/>
  <c r="P33"/>
  <c r="R33"/>
  <c r="E34"/>
  <c r="I34" s="1"/>
  <c r="H34"/>
  <c r="L34"/>
  <c r="J34"/>
  <c r="O34"/>
  <c r="E35"/>
  <c r="I35" s="1"/>
  <c r="H35"/>
  <c r="L35" s="1"/>
  <c r="J35"/>
  <c r="O35"/>
  <c r="H39"/>
  <c r="L39" s="1"/>
  <c r="J39"/>
  <c r="O39"/>
  <c r="E40"/>
  <c r="I40" s="1"/>
  <c r="H40"/>
  <c r="L40" s="1"/>
  <c r="J40"/>
  <c r="O40"/>
  <c r="F6" i="6"/>
  <c r="J6" s="1"/>
  <c r="H7"/>
  <c r="L7" s="1"/>
  <c r="J7"/>
  <c r="O7"/>
  <c r="E8"/>
  <c r="I8" s="1"/>
  <c r="H8"/>
  <c r="L8"/>
  <c r="J8"/>
  <c r="O8"/>
  <c r="E9"/>
  <c r="I9" s="1"/>
  <c r="H9"/>
  <c r="L9" s="1"/>
  <c r="J9"/>
  <c r="O9"/>
  <c r="D10"/>
  <c r="J10"/>
  <c r="E11"/>
  <c r="H11"/>
  <c r="L11" s="1"/>
  <c r="O11"/>
  <c r="E12"/>
  <c r="H12"/>
  <c r="L12" s="1"/>
  <c r="O12"/>
  <c r="E13"/>
  <c r="H13"/>
  <c r="O13"/>
  <c r="E14"/>
  <c r="H14"/>
  <c r="L14"/>
  <c r="O14"/>
  <c r="D15"/>
  <c r="F15"/>
  <c r="J15" s="1"/>
  <c r="E16"/>
  <c r="E15" s="1"/>
  <c r="I15" s="1"/>
  <c r="H16"/>
  <c r="H15" s="1"/>
  <c r="J16"/>
  <c r="L16"/>
  <c r="O16"/>
  <c r="D18"/>
  <c r="D17" s="1"/>
  <c r="F18"/>
  <c r="F17" s="1"/>
  <c r="E19"/>
  <c r="H19"/>
  <c r="L19" s="1"/>
  <c r="J19"/>
  <c r="O19"/>
  <c r="E20"/>
  <c r="H20"/>
  <c r="J20"/>
  <c r="O20"/>
  <c r="E21"/>
  <c r="H21"/>
  <c r="L21" s="1"/>
  <c r="J21"/>
  <c r="O21"/>
  <c r="E22"/>
  <c r="H22"/>
  <c r="L22" s="1"/>
  <c r="J22"/>
  <c r="O22"/>
  <c r="E23"/>
  <c r="I23" s="1"/>
  <c r="H23"/>
  <c r="J23"/>
  <c r="L23"/>
  <c r="O23"/>
  <c r="C25"/>
  <c r="D25"/>
  <c r="D24" s="1"/>
  <c r="F25"/>
  <c r="J25" s="1"/>
  <c r="P25"/>
  <c r="P24" s="1"/>
  <c r="R25"/>
  <c r="R24" s="1"/>
  <c r="E26"/>
  <c r="I26" s="1"/>
  <c r="H26"/>
  <c r="L26"/>
  <c r="J26"/>
  <c r="O26"/>
  <c r="E27"/>
  <c r="I27" s="1"/>
  <c r="H27"/>
  <c r="L27"/>
  <c r="J27"/>
  <c r="O27"/>
  <c r="E28"/>
  <c r="H28"/>
  <c r="L28" s="1"/>
  <c r="J28"/>
  <c r="O28"/>
  <c r="E29"/>
  <c r="H29"/>
  <c r="L29" s="1"/>
  <c r="J29"/>
  <c r="O29"/>
  <c r="E30"/>
  <c r="H30"/>
  <c r="L30"/>
  <c r="O30"/>
  <c r="E31"/>
  <c r="I31" s="1"/>
  <c r="H31"/>
  <c r="J31"/>
  <c r="L31"/>
  <c r="O31"/>
  <c r="E32"/>
  <c r="I32" s="1"/>
  <c r="H32"/>
  <c r="J32"/>
  <c r="L32"/>
  <c r="O32"/>
  <c r="F33"/>
  <c r="J33" s="1"/>
  <c r="P33"/>
  <c r="R33"/>
  <c r="E34"/>
  <c r="I34" s="1"/>
  <c r="H34"/>
  <c r="J34"/>
  <c r="L34"/>
  <c r="O34"/>
  <c r="E35"/>
  <c r="I35" s="1"/>
  <c r="H35"/>
  <c r="J35"/>
  <c r="O35"/>
  <c r="H39"/>
  <c r="L39" s="1"/>
  <c r="J39"/>
  <c r="O39"/>
  <c r="E40"/>
  <c r="I40" s="1"/>
  <c r="H40"/>
  <c r="L40"/>
  <c r="O40"/>
  <c r="F6" i="3"/>
  <c r="J6" s="1"/>
  <c r="E7"/>
  <c r="H7"/>
  <c r="L7" s="1"/>
  <c r="J7"/>
  <c r="O7"/>
  <c r="E8"/>
  <c r="I8" s="1"/>
  <c r="H8"/>
  <c r="J8"/>
  <c r="L8"/>
  <c r="O8"/>
  <c r="E9"/>
  <c r="H9"/>
  <c r="L9" s="1"/>
  <c r="J9"/>
  <c r="O9"/>
  <c r="C10"/>
  <c r="D10"/>
  <c r="J10"/>
  <c r="E11"/>
  <c r="H11"/>
  <c r="L11" s="1"/>
  <c r="J11"/>
  <c r="O11"/>
  <c r="E12"/>
  <c r="H12"/>
  <c r="L12" s="1"/>
  <c r="J12"/>
  <c r="O12"/>
  <c r="E13"/>
  <c r="H13"/>
  <c r="L13" s="1"/>
  <c r="J13"/>
  <c r="O13"/>
  <c r="E14"/>
  <c r="H14"/>
  <c r="J14"/>
  <c r="L14"/>
  <c r="O14"/>
  <c r="C15"/>
  <c r="D15"/>
  <c r="F16"/>
  <c r="F15" s="1"/>
  <c r="H16"/>
  <c r="H15" s="1"/>
  <c r="L15" s="1"/>
  <c r="O16"/>
  <c r="C17"/>
  <c r="D18"/>
  <c r="D17" s="1"/>
  <c r="F18"/>
  <c r="F17" s="1"/>
  <c r="J17" s="1"/>
  <c r="E19"/>
  <c r="H19"/>
  <c r="L19" s="1"/>
  <c r="J19"/>
  <c r="O19"/>
  <c r="E20"/>
  <c r="I20" s="1"/>
  <c r="L20"/>
  <c r="J20"/>
  <c r="O20"/>
  <c r="E21"/>
  <c r="H21"/>
  <c r="L21" s="1"/>
  <c r="J21"/>
  <c r="O21"/>
  <c r="E22"/>
  <c r="H22"/>
  <c r="L22" s="1"/>
  <c r="J22"/>
  <c r="O22"/>
  <c r="E23"/>
  <c r="I23" s="1"/>
  <c r="H23"/>
  <c r="J23"/>
  <c r="L23"/>
  <c r="O23"/>
  <c r="C24"/>
  <c r="J25"/>
  <c r="P24"/>
  <c r="R25"/>
  <c r="R24" s="1"/>
  <c r="E27"/>
  <c r="H27"/>
  <c r="J27"/>
  <c r="O27"/>
  <c r="E28"/>
  <c r="H28"/>
  <c r="L28" s="1"/>
  <c r="J28"/>
  <c r="O28"/>
  <c r="H29"/>
  <c r="L29" s="1"/>
  <c r="J29"/>
  <c r="O29"/>
  <c r="E30"/>
  <c r="I30" s="1"/>
  <c r="H30"/>
  <c r="L30"/>
  <c r="J30"/>
  <c r="O30"/>
  <c r="H31"/>
  <c r="I31"/>
  <c r="J31"/>
  <c r="L31"/>
  <c r="O31"/>
  <c r="E33"/>
  <c r="I33" s="1"/>
  <c r="H33"/>
  <c r="J33"/>
  <c r="L33"/>
  <c r="O33"/>
  <c r="F34"/>
  <c r="P34"/>
  <c r="R34"/>
  <c r="E35"/>
  <c r="H35"/>
  <c r="J35"/>
  <c r="L35"/>
  <c r="O35"/>
  <c r="E36"/>
  <c r="I36" s="1"/>
  <c r="H36"/>
  <c r="L36" s="1"/>
  <c r="J36"/>
  <c r="O36"/>
  <c r="H40"/>
  <c r="J40"/>
  <c r="E41"/>
  <c r="H41"/>
  <c r="L41" s="1"/>
  <c r="J41"/>
  <c r="O41"/>
  <c r="C6" i="2"/>
  <c r="D6"/>
  <c r="F6"/>
  <c r="J6" s="1"/>
  <c r="E7"/>
  <c r="J7"/>
  <c r="O7"/>
  <c r="E8"/>
  <c r="H8"/>
  <c r="L8" s="1"/>
  <c r="J8"/>
  <c r="O8"/>
  <c r="E9"/>
  <c r="H9"/>
  <c r="L9" s="1"/>
  <c r="J9"/>
  <c r="O9"/>
  <c r="D12"/>
  <c r="F12"/>
  <c r="J12" s="1"/>
  <c r="E13"/>
  <c r="H13"/>
  <c r="L13" s="1"/>
  <c r="J13"/>
  <c r="O13"/>
  <c r="E14"/>
  <c r="H14"/>
  <c r="L14" s="1"/>
  <c r="J14"/>
  <c r="O14"/>
  <c r="E15"/>
  <c r="H15"/>
  <c r="L15" s="1"/>
  <c r="J15"/>
  <c r="O15"/>
  <c r="E16"/>
  <c r="H16"/>
  <c r="J16"/>
  <c r="L16"/>
  <c r="O16"/>
  <c r="D17"/>
  <c r="F17"/>
  <c r="J17" s="1"/>
  <c r="M17"/>
  <c r="O17" s="1"/>
  <c r="E18"/>
  <c r="E17" s="1"/>
  <c r="H18"/>
  <c r="H17" s="1"/>
  <c r="L17" s="1"/>
  <c r="J18"/>
  <c r="O18"/>
  <c r="F20"/>
  <c r="F19" s="1"/>
  <c r="J19" s="1"/>
  <c r="H21"/>
  <c r="I21" s="1"/>
  <c r="J21"/>
  <c r="O21"/>
  <c r="H22"/>
  <c r="L22" s="1"/>
  <c r="J22"/>
  <c r="O22"/>
  <c r="E23"/>
  <c r="H23"/>
  <c r="L23" s="1"/>
  <c r="J23"/>
  <c r="O23"/>
  <c r="E24"/>
  <c r="I24" s="1"/>
  <c r="H24"/>
  <c r="J24"/>
  <c r="L24"/>
  <c r="O24"/>
  <c r="E27"/>
  <c r="H27"/>
  <c r="L27" s="1"/>
  <c r="J27"/>
  <c r="O27"/>
  <c r="E28"/>
  <c r="H28"/>
  <c r="L28" s="1"/>
  <c r="O28"/>
  <c r="E30"/>
  <c r="H30"/>
  <c r="L30" s="1"/>
  <c r="J30"/>
  <c r="O30"/>
  <c r="E31"/>
  <c r="I31" s="1"/>
  <c r="H31"/>
  <c r="L31"/>
  <c r="J31"/>
  <c r="O31"/>
  <c r="E34"/>
  <c r="I34" s="1"/>
  <c r="H34"/>
  <c r="J34"/>
  <c r="O34"/>
  <c r="E36"/>
  <c r="H36"/>
  <c r="L36" s="1"/>
  <c r="J36"/>
  <c r="O36"/>
  <c r="H37"/>
  <c r="J37"/>
  <c r="O37"/>
  <c r="H39"/>
  <c r="J39"/>
  <c r="O39"/>
  <c r="F40"/>
  <c r="J40" s="1"/>
  <c r="P40"/>
  <c r="R40"/>
  <c r="E41"/>
  <c r="I41" s="1"/>
  <c r="H41"/>
  <c r="J41"/>
  <c r="L41"/>
  <c r="O41"/>
  <c r="E42"/>
  <c r="H42"/>
  <c r="L42" s="1"/>
  <c r="J42"/>
  <c r="E46"/>
  <c r="H46"/>
  <c r="L46" s="1"/>
  <c r="J46"/>
  <c r="O46"/>
  <c r="E47"/>
  <c r="H47"/>
  <c r="J47"/>
  <c r="O47"/>
  <c r="G4" i="1"/>
  <c r="P4"/>
  <c r="E6"/>
  <c r="O6"/>
  <c r="E7"/>
  <c r="F7"/>
  <c r="F8" i="9" s="1"/>
  <c r="H7" i="1"/>
  <c r="L7" s="1"/>
  <c r="O7"/>
  <c r="E8"/>
  <c r="F8"/>
  <c r="F9" i="9" s="1"/>
  <c r="O8" i="1"/>
  <c r="C11"/>
  <c r="D11"/>
  <c r="F11"/>
  <c r="M11"/>
  <c r="O11" s="1"/>
  <c r="E12"/>
  <c r="H12"/>
  <c r="L12" s="1"/>
  <c r="J12"/>
  <c r="O12"/>
  <c r="E13"/>
  <c r="H13"/>
  <c r="L13" s="1"/>
  <c r="J13"/>
  <c r="O13"/>
  <c r="E14"/>
  <c r="H14"/>
  <c r="L14" s="1"/>
  <c r="J14"/>
  <c r="O14"/>
  <c r="E15"/>
  <c r="H15"/>
  <c r="J15"/>
  <c r="L15"/>
  <c r="O15"/>
  <c r="C16"/>
  <c r="E17"/>
  <c r="H17"/>
  <c r="O17"/>
  <c r="H18"/>
  <c r="O18"/>
  <c r="E19"/>
  <c r="H19"/>
  <c r="L19" s="1"/>
  <c r="O19"/>
  <c r="E20"/>
  <c r="F20"/>
  <c r="H20"/>
  <c r="L20" s="1"/>
  <c r="O20"/>
  <c r="E21"/>
  <c r="F21"/>
  <c r="F22" i="9" s="1"/>
  <c r="H21" i="1"/>
  <c r="L21" s="1"/>
  <c r="O21"/>
  <c r="E22"/>
  <c r="H22"/>
  <c r="O22"/>
  <c r="F23"/>
  <c r="F27" i="9" s="1"/>
  <c r="H23" i="1"/>
  <c r="O23"/>
  <c r="E24"/>
  <c r="I24" s="1"/>
  <c r="H24"/>
  <c r="L24"/>
  <c r="J24"/>
  <c r="O24"/>
  <c r="C26"/>
  <c r="E27"/>
  <c r="I27" s="1"/>
  <c r="H27"/>
  <c r="L27"/>
  <c r="J27"/>
  <c r="O27"/>
  <c r="F28"/>
  <c r="F32" i="9" s="1"/>
  <c r="O28" i="1"/>
  <c r="E29"/>
  <c r="I29" s="1"/>
  <c r="J29"/>
  <c r="O29"/>
  <c r="E30"/>
  <c r="F30"/>
  <c r="F33" i="9" s="1"/>
  <c r="H30" i="1"/>
  <c r="O30"/>
  <c r="E32"/>
  <c r="J32"/>
  <c r="O32"/>
  <c r="E33"/>
  <c r="F33"/>
  <c r="F36" i="9" s="1"/>
  <c r="H33" i="1"/>
  <c r="L33" s="1"/>
  <c r="O33"/>
  <c r="C34"/>
  <c r="P34"/>
  <c r="R34"/>
  <c r="F35"/>
  <c r="F38" i="9" s="1"/>
  <c r="H35" i="1"/>
  <c r="O35"/>
  <c r="E36"/>
  <c r="F36"/>
  <c r="F39" i="9" s="1"/>
  <c r="H36" i="1"/>
  <c r="O36"/>
  <c r="E37"/>
  <c r="H37"/>
  <c r="J37"/>
  <c r="O37"/>
  <c r="J38"/>
  <c r="P38"/>
  <c r="R38"/>
  <c r="E40"/>
  <c r="H40"/>
  <c r="J40"/>
  <c r="O40"/>
  <c r="E41"/>
  <c r="H41"/>
  <c r="J41"/>
  <c r="O41"/>
  <c r="E42"/>
  <c r="F42"/>
  <c r="F44" i="9" s="1"/>
  <c r="H42" i="1"/>
  <c r="O42"/>
  <c r="J43"/>
  <c r="P43"/>
  <c r="R43"/>
  <c r="E44"/>
  <c r="H44"/>
  <c r="L44" s="1"/>
  <c r="J44"/>
  <c r="O44"/>
  <c r="E45"/>
  <c r="I45" s="1"/>
  <c r="H45"/>
  <c r="J45"/>
  <c r="L45"/>
  <c r="O45"/>
  <c r="F49"/>
  <c r="F50" i="9" s="1"/>
  <c r="H50" i="1"/>
  <c r="L50" s="1"/>
  <c r="J50"/>
  <c r="O50"/>
  <c r="H53"/>
  <c r="L53"/>
  <c r="F25" i="7"/>
  <c r="J25" s="1"/>
  <c r="F18"/>
  <c r="J18" s="1"/>
  <c r="L8" i="8"/>
  <c r="L34" i="2"/>
  <c r="E7" i="8"/>
  <c r="D7" i="9"/>
  <c r="E7" i="6"/>
  <c r="E28" i="1"/>
  <c r="D26"/>
  <c r="E18"/>
  <c r="D34"/>
  <c r="E50"/>
  <c r="D16"/>
  <c r="E39" i="8"/>
  <c r="H29" i="1"/>
  <c r="L29" s="1"/>
  <c r="H28"/>
  <c r="H32" i="9" s="1"/>
  <c r="O33" i="8"/>
  <c r="O49" i="1"/>
  <c r="D25" i="3"/>
  <c r="D24" s="1"/>
  <c r="O40"/>
  <c r="N47" i="9"/>
  <c r="O42" i="2"/>
  <c r="L47"/>
  <c r="O15" i="3"/>
  <c r="E53" i="1"/>
  <c r="I53" s="1"/>
  <c r="D19" i="2"/>
  <c r="H54" i="9"/>
  <c r="D40"/>
  <c r="D25" i="7"/>
  <c r="M25"/>
  <c r="Q26" i="9"/>
  <c r="P32"/>
  <c r="E22" i="2"/>
  <c r="E20" s="1"/>
  <c r="E19" s="1"/>
  <c r="O16" i="8"/>
  <c r="E18" i="6"/>
  <c r="E17" s="1"/>
  <c r="L17" i="7"/>
  <c r="C24" i="6"/>
  <c r="I29"/>
  <c r="I9" i="3"/>
  <c r="I16" i="6"/>
  <c r="L16" i="7"/>
  <c r="O10" i="6"/>
  <c r="N4" i="1"/>
  <c r="L16" i="3"/>
  <c r="H52" i="9"/>
  <c r="L52" s="1"/>
  <c r="D27"/>
  <c r="L41" i="7"/>
  <c r="E52" i="9"/>
  <c r="K4" i="1"/>
  <c r="K47" s="1"/>
  <c r="L16" i="8"/>
  <c r="E16" i="3"/>
  <c r="E15" s="1"/>
  <c r="C5" i="7"/>
  <c r="K47" i="9"/>
  <c r="L35" i="6"/>
  <c r="H48" i="9"/>
  <c r="I43" i="2"/>
  <c r="Q32" i="9"/>
  <c r="H50"/>
  <c r="O51"/>
  <c r="K26"/>
  <c r="O16" i="1"/>
  <c r="N26" i="9"/>
  <c r="H18" i="6" l="1"/>
  <c r="I32" i="1"/>
  <c r="H25" i="3"/>
  <c r="F5" i="1"/>
  <c r="F24" i="6"/>
  <c r="J24" s="1"/>
  <c r="I17" i="7"/>
  <c r="I33"/>
  <c r="I15" i="8"/>
  <c r="E11" i="1"/>
  <c r="I47" i="2"/>
  <c r="I38"/>
  <c r="O6" i="6"/>
  <c r="E11" i="8"/>
  <c r="J22" i="1"/>
  <c r="O18" i="6"/>
  <c r="I19"/>
  <c r="J18"/>
  <c r="E6" i="8"/>
  <c r="R25" i="7"/>
  <c r="H31" i="9"/>
  <c r="O6" i="3"/>
  <c r="O19" i="7"/>
  <c r="O19" i="8"/>
  <c r="I13" i="3"/>
  <c r="H19" i="9"/>
  <c r="J19" s="1"/>
  <c r="I8" i="1"/>
  <c r="H6" i="7"/>
  <c r="J19" i="8"/>
  <c r="M25" i="2"/>
  <c r="O25" s="1"/>
  <c r="I31" i="1"/>
  <c r="I21" i="7"/>
  <c r="I50" i="1"/>
  <c r="I46"/>
  <c r="E19" i="8"/>
  <c r="E18" s="1"/>
  <c r="P25" i="7"/>
  <c r="L21" i="2"/>
  <c r="J18" i="3"/>
  <c r="I13" i="2"/>
  <c r="I7"/>
  <c r="J49" i="1"/>
  <c r="H42" i="9"/>
  <c r="L42" s="1"/>
  <c r="E34" i="1"/>
  <c r="F24" i="3"/>
  <c r="J24" s="1"/>
  <c r="I28" i="8"/>
  <c r="P12" i="9"/>
  <c r="F26"/>
  <c r="J26" s="1"/>
  <c r="E34" i="3"/>
  <c r="F5" i="8"/>
  <c r="J5" s="1"/>
  <c r="E38" i="1"/>
  <c r="E42" i="9"/>
  <c r="I51" i="1"/>
  <c r="J34" i="3"/>
  <c r="O25"/>
  <c r="F25" i="8"/>
  <c r="J25" s="1"/>
  <c r="I22" i="7"/>
  <c r="J32" i="9"/>
  <c r="E32"/>
  <c r="J42" i="1"/>
  <c r="F21" i="9"/>
  <c r="F17" s="1"/>
  <c r="C5" i="3"/>
  <c r="C38" s="1"/>
  <c r="I11" i="6"/>
  <c r="I27" i="7"/>
  <c r="E26"/>
  <c r="H38" i="9"/>
  <c r="J38" s="1"/>
  <c r="E32" i="2"/>
  <c r="I46"/>
  <c r="E27" i="9"/>
  <c r="I39" i="6"/>
  <c r="F5" i="7"/>
  <c r="F38" s="1"/>
  <c r="J20" i="2"/>
  <c r="E6" i="6"/>
  <c r="J30" i="1"/>
  <c r="I37" i="2"/>
  <c r="I30" i="6"/>
  <c r="H25"/>
  <c r="L25" s="1"/>
  <c r="I22"/>
  <c r="I21"/>
  <c r="I20"/>
  <c r="I13"/>
  <c r="P5" i="7"/>
  <c r="H26" i="1"/>
  <c r="L26" s="1"/>
  <c r="L29" i="7"/>
  <c r="H26"/>
  <c r="L26" s="1"/>
  <c r="L40" i="1"/>
  <c r="H38"/>
  <c r="I7" i="6"/>
  <c r="I27" i="2"/>
  <c r="E16" i="1"/>
  <c r="H43"/>
  <c r="L43" s="1"/>
  <c r="F5" i="6"/>
  <c r="J5" s="1"/>
  <c r="C25" i="1"/>
  <c r="D25" i="2"/>
  <c r="F25"/>
  <c r="J25" s="1"/>
  <c r="I14"/>
  <c r="C25"/>
  <c r="O20"/>
  <c r="I9" i="8"/>
  <c r="J17" i="6"/>
  <c r="F26" i="1"/>
  <c r="I23" i="7"/>
  <c r="O40" i="2"/>
  <c r="I39"/>
  <c r="E26"/>
  <c r="E6" i="3"/>
  <c r="D5" i="8"/>
  <c r="D37" s="1"/>
  <c r="D43" s="1"/>
  <c r="R25"/>
  <c r="R37" s="1"/>
  <c r="R43" s="1"/>
  <c r="D5" i="6"/>
  <c r="D37" s="1"/>
  <c r="D42" s="1"/>
  <c r="D5" i="7"/>
  <c r="D38" s="1"/>
  <c r="D42" s="1"/>
  <c r="C17" i="9"/>
  <c r="I12" i="6"/>
  <c r="I7" i="1"/>
  <c r="H26" i="2"/>
  <c r="I15" i="7"/>
  <c r="I14"/>
  <c r="I40"/>
  <c r="I13"/>
  <c r="H33" i="9"/>
  <c r="L33" s="1"/>
  <c r="M25" i="8"/>
  <c r="O25" s="1"/>
  <c r="H20" i="2"/>
  <c r="L20" s="1"/>
  <c r="J8" i="1"/>
  <c r="I30" i="2"/>
  <c r="J16" i="3"/>
  <c r="E26" i="8"/>
  <c r="H6" i="6"/>
  <c r="D4" i="1"/>
  <c r="P25"/>
  <c r="P47" s="1"/>
  <c r="P54" s="1"/>
  <c r="E33" i="6"/>
  <c r="H20" i="9"/>
  <c r="J20" s="1"/>
  <c r="P25" i="8"/>
  <c r="P37" s="1"/>
  <c r="P43" s="1"/>
  <c r="E6" i="7"/>
  <c r="H10" i="6"/>
  <c r="L10" s="1"/>
  <c r="I8" i="2"/>
  <c r="F16" i="1"/>
  <c r="F4" s="1"/>
  <c r="J28"/>
  <c r="J23"/>
  <c r="E34" i="7"/>
  <c r="I6" i="1"/>
  <c r="I33"/>
  <c r="I14"/>
  <c r="L13" i="6"/>
  <c r="J18" i="8"/>
  <c r="M24" i="6"/>
  <c r="O24" s="1"/>
  <c r="E10"/>
  <c r="H19" i="7"/>
  <c r="H18" s="1"/>
  <c r="L18" s="1"/>
  <c r="C38"/>
  <c r="C42" s="1"/>
  <c r="J19" i="1"/>
  <c r="E25" i="6"/>
  <c r="J7" i="1"/>
  <c r="F5" i="2"/>
  <c r="F34" i="1"/>
  <c r="I30" i="7"/>
  <c r="R25" i="2"/>
  <c r="E38" i="9"/>
  <c r="P17"/>
  <c r="L17" i="8"/>
  <c r="H16"/>
  <c r="L7"/>
  <c r="H6"/>
  <c r="L6" s="1"/>
  <c r="D6" i="9"/>
  <c r="E33" i="8"/>
  <c r="I7"/>
  <c r="K54" i="1"/>
  <c r="I20" i="7"/>
  <c r="L50" i="9"/>
  <c r="L40" i="3"/>
  <c r="I27"/>
  <c r="I30" i="1"/>
  <c r="I23" i="2"/>
  <c r="H16" i="1"/>
  <c r="J6"/>
  <c r="R6" i="9"/>
  <c r="J47"/>
  <c r="P6"/>
  <c r="Q6"/>
  <c r="I15" i="1"/>
  <c r="I13"/>
  <c r="C4"/>
  <c r="E11" i="7"/>
  <c r="L39" i="2"/>
  <c r="C5"/>
  <c r="J33" i="1"/>
  <c r="I42" i="2"/>
  <c r="D41" i="9"/>
  <c r="E40" i="2"/>
  <c r="I9"/>
  <c r="E6"/>
  <c r="E21" i="9"/>
  <c r="R25" i="1"/>
  <c r="R47" s="1"/>
  <c r="R54" s="1"/>
  <c r="I19"/>
  <c r="E43"/>
  <c r="E5"/>
  <c r="E33" i="9"/>
  <c r="E19" i="7"/>
  <c r="E18" s="1"/>
  <c r="L37" i="1"/>
  <c r="I35"/>
  <c r="L36"/>
  <c r="L30"/>
  <c r="I28"/>
  <c r="J21"/>
  <c r="L18"/>
  <c r="L17"/>
  <c r="I13" i="8"/>
  <c r="I12"/>
  <c r="H16" i="9"/>
  <c r="L37" i="2"/>
  <c r="H35"/>
  <c r="H11" i="7"/>
  <c r="L11" s="1"/>
  <c r="H10" i="3"/>
  <c r="L10" s="1"/>
  <c r="O38" i="9"/>
  <c r="H11" i="8"/>
  <c r="L11" s="1"/>
  <c r="I14"/>
  <c r="I29" i="3"/>
  <c r="L20" i="6"/>
  <c r="I37" i="1"/>
  <c r="I12"/>
  <c r="I36" i="2"/>
  <c r="M37" i="9"/>
  <c r="I36" i="1"/>
  <c r="J36"/>
  <c r="Q23" i="9"/>
  <c r="R5" i="7"/>
  <c r="R38" s="1"/>
  <c r="R42" s="1"/>
  <c r="H19" i="8"/>
  <c r="L19" s="1"/>
  <c r="R5" i="6"/>
  <c r="R37" s="1"/>
  <c r="R42" s="1"/>
  <c r="H18" i="3"/>
  <c r="L18" s="1"/>
  <c r="I19"/>
  <c r="H6" i="2"/>
  <c r="L6" s="1"/>
  <c r="R5"/>
  <c r="E36" i="9"/>
  <c r="E10" i="3"/>
  <c r="O6" i="8"/>
  <c r="O18" i="3"/>
  <c r="H34" i="1"/>
  <c r="L34" s="1"/>
  <c r="I29" i="7"/>
  <c r="J17" i="1"/>
  <c r="I17"/>
  <c r="H34" i="3"/>
  <c r="L18" i="2"/>
  <c r="I18"/>
  <c r="H5" i="1"/>
  <c r="H11"/>
  <c r="I11" s="1"/>
  <c r="N6" i="9"/>
  <c r="C6"/>
  <c r="G6"/>
  <c r="H21"/>
  <c r="L21" s="1"/>
  <c r="M6"/>
  <c r="K6"/>
  <c r="L7" i="7"/>
  <c r="J20" i="1"/>
  <c r="I20"/>
  <c r="H46" i="9"/>
  <c r="L46" s="1"/>
  <c r="O47"/>
  <c r="H6" i="3"/>
  <c r="L42" i="1"/>
  <c r="E31" i="9"/>
  <c r="I31" s="1"/>
  <c r="E20"/>
  <c r="I20" s="1"/>
  <c r="E18"/>
  <c r="O21"/>
  <c r="O19"/>
  <c r="I39" i="8"/>
  <c r="L27" i="3"/>
  <c r="L28" i="1"/>
  <c r="K43" i="8"/>
  <c r="I41" i="3"/>
  <c r="O42" i="9"/>
  <c r="O44"/>
  <c r="O36"/>
  <c r="O20"/>
  <c r="H34" i="7"/>
  <c r="L34" s="1"/>
  <c r="H33" i="8"/>
  <c r="H33" i="6"/>
  <c r="I28" i="3"/>
  <c r="O35" i="9"/>
  <c r="H12" i="2"/>
  <c r="L12" s="1"/>
  <c r="H40"/>
  <c r="E7" i="9"/>
  <c r="F6"/>
  <c r="H36"/>
  <c r="J36" s="1"/>
  <c r="I40" i="3"/>
  <c r="I11"/>
  <c r="I15" i="2"/>
  <c r="E25" i="9"/>
  <c r="H39"/>
  <c r="L39" s="1"/>
  <c r="K37"/>
  <c r="H34"/>
  <c r="L34" s="1"/>
  <c r="I52"/>
  <c r="I22" i="1"/>
  <c r="Q30" i="9"/>
  <c r="Q29" s="1"/>
  <c r="C30"/>
  <c r="P30"/>
  <c r="P29" s="1"/>
  <c r="F12"/>
  <c r="J12" s="1"/>
  <c r="E9"/>
  <c r="H8"/>
  <c r="J8" s="1"/>
  <c r="I12" i="7"/>
  <c r="I16" i="8"/>
  <c r="G45" i="9"/>
  <c r="H44"/>
  <c r="L44" s="1"/>
  <c r="H40"/>
  <c r="L40" s="1"/>
  <c r="R30"/>
  <c r="R29" s="1"/>
  <c r="H28"/>
  <c r="E28"/>
  <c r="I28" s="1"/>
  <c r="R17"/>
  <c r="R12"/>
  <c r="H25"/>
  <c r="L25" s="1"/>
  <c r="G17"/>
  <c r="K12"/>
  <c r="E43"/>
  <c r="I22" i="3"/>
  <c r="H9" i="9"/>
  <c r="L9" s="1"/>
  <c r="Q17"/>
  <c r="Q12"/>
  <c r="E35"/>
  <c r="D5" i="3"/>
  <c r="D38" s="1"/>
  <c r="D44" s="1"/>
  <c r="R5"/>
  <c r="R38" s="1"/>
  <c r="R44" s="1"/>
  <c r="E34" i="9"/>
  <c r="C23"/>
  <c r="D12"/>
  <c r="M12"/>
  <c r="J15" i="3"/>
  <c r="F5"/>
  <c r="K23" i="9"/>
  <c r="I16" i="3"/>
  <c r="G26" i="9"/>
  <c r="G23" s="1"/>
  <c r="F41"/>
  <c r="J41" s="1"/>
  <c r="I14" i="3"/>
  <c r="E14" i="9"/>
  <c r="R26"/>
  <c r="R23" s="1"/>
  <c r="I35" i="3"/>
  <c r="E40" i="9"/>
  <c r="P26"/>
  <c r="P23" s="1"/>
  <c r="E24"/>
  <c r="I21" i="3"/>
  <c r="E18"/>
  <c r="E17" s="1"/>
  <c r="C12" i="9"/>
  <c r="I33" i="2"/>
  <c r="E12"/>
  <c r="E8" i="9"/>
  <c r="M5" i="7"/>
  <c r="O5" s="1"/>
  <c r="I16"/>
  <c r="I23" i="8"/>
  <c r="I22"/>
  <c r="I21"/>
  <c r="C5"/>
  <c r="C37" s="1"/>
  <c r="C43" s="1"/>
  <c r="I17"/>
  <c r="P5" i="6"/>
  <c r="P37" s="1"/>
  <c r="P42" s="1"/>
  <c r="H27" i="9"/>
  <c r="L27" s="1"/>
  <c r="C5" i="6"/>
  <c r="C37" s="1"/>
  <c r="C38" s="1"/>
  <c r="I14"/>
  <c r="P5" i="3"/>
  <c r="I15"/>
  <c r="P5" i="2"/>
  <c r="P44" s="1"/>
  <c r="P51" s="1"/>
  <c r="E48" i="9"/>
  <c r="I48" s="1"/>
  <c r="I16" i="2"/>
  <c r="E16" i="9"/>
  <c r="H51"/>
  <c r="G41"/>
  <c r="I41" i="1"/>
  <c r="C37" i="9"/>
  <c r="E13"/>
  <c r="L33" i="2"/>
  <c r="I21" i="1"/>
  <c r="I22" i="2"/>
  <c r="O46" i="9"/>
  <c r="L22" i="1"/>
  <c r="I29" i="2"/>
  <c r="I28"/>
  <c r="I17"/>
  <c r="L23" i="1"/>
  <c r="I23"/>
  <c r="D25"/>
  <c r="E26"/>
  <c r="E39" i="9"/>
  <c r="E19"/>
  <c r="O27"/>
  <c r="H13"/>
  <c r="L13" s="1"/>
  <c r="I28" i="6"/>
  <c r="M30" i="9"/>
  <c r="O34"/>
  <c r="I20" i="8"/>
  <c r="I44" i="1"/>
  <c r="D30" i="9"/>
  <c r="D26"/>
  <c r="D5" i="2"/>
  <c r="K17" i="9"/>
  <c r="N17"/>
  <c r="O34" i="3"/>
  <c r="O18" i="9"/>
  <c r="G37"/>
  <c r="I7" i="3"/>
  <c r="H32" i="2"/>
  <c r="L32" s="1"/>
  <c r="L35" i="1"/>
  <c r="F37" i="9"/>
  <c r="E22"/>
  <c r="E15"/>
  <c r="O14"/>
  <c r="M41"/>
  <c r="H43"/>
  <c r="M25" i="1"/>
  <c r="L41"/>
  <c r="I42"/>
  <c r="J18"/>
  <c r="I18"/>
  <c r="J35"/>
  <c r="O9" i="9"/>
  <c r="I49" i="1"/>
  <c r="O32" i="9"/>
  <c r="K41"/>
  <c r="K30"/>
  <c r="N37"/>
  <c r="O43" i="2"/>
  <c r="O39" i="9"/>
  <c r="O26" i="2"/>
  <c r="I40" i="1"/>
  <c r="E44" i="9"/>
  <c r="O25" i="7"/>
  <c r="O6"/>
  <c r="H26" i="8"/>
  <c r="L26" s="1"/>
  <c r="H14" i="9"/>
  <c r="L14" s="1"/>
  <c r="G5" i="6"/>
  <c r="G37" s="1"/>
  <c r="G5" i="3"/>
  <c r="G38" s="1"/>
  <c r="H24" i="9"/>
  <c r="G5" i="2"/>
  <c r="G44" s="1"/>
  <c r="N25" i="1"/>
  <c r="N47" s="1"/>
  <c r="N48" s="1"/>
  <c r="G47"/>
  <c r="G48" s="1"/>
  <c r="H18" i="9"/>
  <c r="J18" s="1"/>
  <c r="H7"/>
  <c r="F30"/>
  <c r="O43"/>
  <c r="D17"/>
  <c r="H22"/>
  <c r="J22" s="1"/>
  <c r="E50"/>
  <c r="I50" s="1"/>
  <c r="M5" i="8"/>
  <c r="O15" i="9"/>
  <c r="H15"/>
  <c r="L15" s="1"/>
  <c r="O13"/>
  <c r="O18" i="7"/>
  <c r="M45" i="9"/>
  <c r="O40"/>
  <c r="O24" i="3"/>
  <c r="M5"/>
  <c r="O25" i="9"/>
  <c r="M26"/>
  <c r="M23" s="1"/>
  <c r="O24"/>
  <c r="O6" i="2"/>
  <c r="M5"/>
  <c r="O33" i="9"/>
  <c r="M17"/>
  <c r="O22"/>
  <c r="M4" i="1"/>
  <c r="O4" s="1"/>
  <c r="O8" i="9"/>
  <c r="O7"/>
  <c r="O5" i="1"/>
  <c r="K42" i="7"/>
  <c r="K5" i="2"/>
  <c r="K44" s="1"/>
  <c r="K45" s="1"/>
  <c r="N5" i="6"/>
  <c r="N37" s="1"/>
  <c r="N38" s="1"/>
  <c r="O17"/>
  <c r="N30" i="9"/>
  <c r="N41"/>
  <c r="N12"/>
  <c r="G5" i="7"/>
  <c r="G38" s="1"/>
  <c r="G39" s="1"/>
  <c r="O18" i="8"/>
  <c r="N5"/>
  <c r="N37" s="1"/>
  <c r="N38" s="1"/>
  <c r="H35" i="9"/>
  <c r="L35" s="1"/>
  <c r="M5" i="6"/>
  <c r="G30" i="9"/>
  <c r="L18" i="6"/>
  <c r="I18"/>
  <c r="H17"/>
  <c r="G12" i="9"/>
  <c r="O17" i="3"/>
  <c r="N5"/>
  <c r="N38" s="1"/>
  <c r="N39" s="1"/>
  <c r="I12"/>
  <c r="O19" i="2"/>
  <c r="N5"/>
  <c r="N44" s="1"/>
  <c r="N45" s="1"/>
  <c r="H47" i="9"/>
  <c r="L47" s="1"/>
  <c r="J50"/>
  <c r="N23"/>
  <c r="D37"/>
  <c r="L20"/>
  <c r="E47"/>
  <c r="F37" i="6" l="1"/>
  <c r="P38" i="7"/>
  <c r="P42" s="1"/>
  <c r="G45" i="2"/>
  <c r="G51"/>
  <c r="E24" i="3"/>
  <c r="I6" i="6"/>
  <c r="E25" i="8"/>
  <c r="E5"/>
  <c r="E5" i="6"/>
  <c r="L19" i="9"/>
  <c r="M44" i="2"/>
  <c r="M51" s="1"/>
  <c r="E5"/>
  <c r="I19" i="9"/>
  <c r="M37" i="6"/>
  <c r="M42" s="1"/>
  <c r="C44" i="3"/>
  <c r="C39"/>
  <c r="C39" i="7"/>
  <c r="I16" i="1"/>
  <c r="F23" i="9"/>
  <c r="F5" s="1"/>
  <c r="L25" i="3"/>
  <c r="H24"/>
  <c r="L24" s="1"/>
  <c r="L38" i="9"/>
  <c r="L32"/>
  <c r="L19" i="7"/>
  <c r="F37" i="8"/>
  <c r="F43" s="1"/>
  <c r="I25" i="3"/>
  <c r="J33" i="9"/>
  <c r="I33"/>
  <c r="I26" i="7"/>
  <c r="I32" i="9"/>
  <c r="I38"/>
  <c r="E4" i="1"/>
  <c r="J5" i="7"/>
  <c r="J26" i="1"/>
  <c r="C44" i="2"/>
  <c r="C45" s="1"/>
  <c r="I10" i="6"/>
  <c r="D44" i="2"/>
  <c r="D51" s="1"/>
  <c r="I6" i="3"/>
  <c r="D47" i="1"/>
  <c r="D54" s="1"/>
  <c r="F39" i="7"/>
  <c r="J39" s="1"/>
  <c r="J38"/>
  <c r="F42"/>
  <c r="L6" i="6"/>
  <c r="M37" i="8"/>
  <c r="M43" s="1"/>
  <c r="E25" i="1"/>
  <c r="I26" i="2"/>
  <c r="I26" i="1"/>
  <c r="E5" i="3"/>
  <c r="E25" i="2"/>
  <c r="C47" i="1"/>
  <c r="C48" s="1"/>
  <c r="F25"/>
  <c r="F47" s="1"/>
  <c r="E24" i="6"/>
  <c r="L26" i="2"/>
  <c r="I19" i="7"/>
  <c r="H25" i="2"/>
  <c r="H5" i="7"/>
  <c r="L5" s="1"/>
  <c r="I43" i="1"/>
  <c r="L34" i="3"/>
  <c r="I34"/>
  <c r="I34" i="7"/>
  <c r="I16" i="9"/>
  <c r="R44" i="2"/>
  <c r="R51" s="1"/>
  <c r="I20"/>
  <c r="H19"/>
  <c r="I19" s="1"/>
  <c r="E25" i="7"/>
  <c r="J5" i="2"/>
  <c r="F44"/>
  <c r="I25" i="6"/>
  <c r="F38"/>
  <c r="J38" s="1"/>
  <c r="J37"/>
  <c r="F42"/>
  <c r="J42" s="1"/>
  <c r="H25" i="7"/>
  <c r="L25" s="1"/>
  <c r="I6" i="8"/>
  <c r="G38" i="6"/>
  <c r="G42"/>
  <c r="H17" i="3"/>
  <c r="H5" s="1"/>
  <c r="G39"/>
  <c r="G44"/>
  <c r="I33" i="6"/>
  <c r="L33"/>
  <c r="H24"/>
  <c r="I10" i="3"/>
  <c r="L16" i="1"/>
  <c r="J16"/>
  <c r="I11" i="7"/>
  <c r="I11" i="8"/>
  <c r="I6" i="2"/>
  <c r="I19" i="8"/>
  <c r="I5" i="1"/>
  <c r="D39" i="7"/>
  <c r="I18"/>
  <c r="E5"/>
  <c r="L35" i="2"/>
  <c r="I35"/>
  <c r="N54" i="1"/>
  <c r="J34"/>
  <c r="O37" i="9"/>
  <c r="D39" i="3"/>
  <c r="H18" i="8"/>
  <c r="L18" s="1"/>
  <c r="I34" i="1"/>
  <c r="I33" i="8"/>
  <c r="L33"/>
  <c r="L6" i="3"/>
  <c r="H25" i="1"/>
  <c r="I40" i="9"/>
  <c r="L11" i="1"/>
  <c r="H4"/>
  <c r="J11"/>
  <c r="I51" i="9"/>
  <c r="L51"/>
  <c r="J21"/>
  <c r="I21"/>
  <c r="H6"/>
  <c r="J6" s="1"/>
  <c r="E6"/>
  <c r="C29"/>
  <c r="I40" i="2"/>
  <c r="L40"/>
  <c r="I25" i="9"/>
  <c r="I44"/>
  <c r="L36"/>
  <c r="I36"/>
  <c r="K44" i="3"/>
  <c r="N43" i="8"/>
  <c r="N44" i="3"/>
  <c r="L5" i="1"/>
  <c r="I39" i="9"/>
  <c r="J5" i="1"/>
  <c r="M38" i="7"/>
  <c r="M42" s="1"/>
  <c r="L8" i="9"/>
  <c r="J39"/>
  <c r="H37"/>
  <c r="L37" s="1"/>
  <c r="O17"/>
  <c r="O12"/>
  <c r="H41"/>
  <c r="L41" s="1"/>
  <c r="J25"/>
  <c r="E41"/>
  <c r="K5"/>
  <c r="R5"/>
  <c r="R49" s="1"/>
  <c r="R55" s="1"/>
  <c r="I42"/>
  <c r="I9"/>
  <c r="I27"/>
  <c r="I34"/>
  <c r="I12" i="2"/>
  <c r="J44" i="9"/>
  <c r="J37" i="8"/>
  <c r="F38"/>
  <c r="J38" s="1"/>
  <c r="J27" i="9"/>
  <c r="G5"/>
  <c r="P5"/>
  <c r="P49" s="1"/>
  <c r="P55" s="1"/>
  <c r="C5"/>
  <c r="Q5"/>
  <c r="Q49" s="1"/>
  <c r="Q55" s="1"/>
  <c r="C42" i="6"/>
  <c r="P38" i="3"/>
  <c r="P44" s="1"/>
  <c r="J5"/>
  <c r="F38"/>
  <c r="F44" s="1"/>
  <c r="J9" i="9"/>
  <c r="E30"/>
  <c r="M38" i="3"/>
  <c r="M44" s="1"/>
  <c r="F29" i="9"/>
  <c r="I24"/>
  <c r="I18" i="3"/>
  <c r="I8" i="9"/>
  <c r="E17"/>
  <c r="C38" i="8"/>
  <c r="E12" i="9"/>
  <c r="O25" i="1"/>
  <c r="E37" i="9"/>
  <c r="I32" i="2"/>
  <c r="D38" i="8"/>
  <c r="D29" i="9"/>
  <c r="I13"/>
  <c r="D38" i="6"/>
  <c r="O30" i="9"/>
  <c r="L22"/>
  <c r="I6" i="7"/>
  <c r="L6"/>
  <c r="D23" i="9"/>
  <c r="D5" s="1"/>
  <c r="E26"/>
  <c r="E23" s="1"/>
  <c r="G29"/>
  <c r="G54" i="1"/>
  <c r="O5" i="6"/>
  <c r="L43" i="9"/>
  <c r="I43"/>
  <c r="O41"/>
  <c r="I38" i="1"/>
  <c r="L38"/>
  <c r="I22" i="9"/>
  <c r="M47" i="1"/>
  <c r="M48" s="1"/>
  <c r="L18" i="9"/>
  <c r="I26" i="8"/>
  <c r="H17" i="9"/>
  <c r="L17" s="1"/>
  <c r="O48"/>
  <c r="N45"/>
  <c r="O45" s="1"/>
  <c r="I18"/>
  <c r="N42" i="7"/>
  <c r="J7" i="9"/>
  <c r="G42" i="7"/>
  <c r="H25" i="8"/>
  <c r="I14" i="9"/>
  <c r="N42" i="6"/>
  <c r="I7" i="9"/>
  <c r="L24"/>
  <c r="L7"/>
  <c r="I15"/>
  <c r="H12"/>
  <c r="L12" s="1"/>
  <c r="M5"/>
  <c r="O6"/>
  <c r="H45"/>
  <c r="M29"/>
  <c r="O23"/>
  <c r="H26"/>
  <c r="H23" s="1"/>
  <c r="L23" s="1"/>
  <c r="O26"/>
  <c r="I35"/>
  <c r="K42" i="6"/>
  <c r="L43" i="2"/>
  <c r="K51"/>
  <c r="H30" i="9"/>
  <c r="L30" s="1"/>
  <c r="O5" i="8"/>
  <c r="I17" i="6"/>
  <c r="H5"/>
  <c r="L17"/>
  <c r="O5" i="3"/>
  <c r="O5" i="2"/>
  <c r="I47" i="9"/>
  <c r="E45"/>
  <c r="N5"/>
  <c r="C51" i="2" l="1"/>
  <c r="I24" i="6"/>
  <c r="E44" i="2"/>
  <c r="E51" s="1"/>
  <c r="E47" i="1"/>
  <c r="E54" s="1"/>
  <c r="E37" i="6"/>
  <c r="C54" i="1"/>
  <c r="E37" i="8"/>
  <c r="E43" s="1"/>
  <c r="E46" s="1"/>
  <c r="M45" i="2"/>
  <c r="O45" s="1"/>
  <c r="I4" i="1"/>
  <c r="M38" i="6"/>
  <c r="O38" s="1"/>
  <c r="O37"/>
  <c r="H5" i="8"/>
  <c r="H37" s="1"/>
  <c r="H43" s="1"/>
  <c r="I24" i="3"/>
  <c r="M38" i="8"/>
  <c r="O38" s="1"/>
  <c r="I5" i="7"/>
  <c r="H38" i="3"/>
  <c r="H44" s="1"/>
  <c r="L19" i="2"/>
  <c r="E45"/>
  <c r="I25"/>
  <c r="D45"/>
  <c r="E42" i="6"/>
  <c r="E38"/>
  <c r="I25" i="1"/>
  <c r="L17" i="3"/>
  <c r="I17"/>
  <c r="D48" i="1"/>
  <c r="E48" s="1"/>
  <c r="H5" i="2"/>
  <c r="L5" s="1"/>
  <c r="L25"/>
  <c r="F48" i="1"/>
  <c r="F54"/>
  <c r="E38" i="7"/>
  <c r="E39" s="1"/>
  <c r="I25"/>
  <c r="L24" i="6"/>
  <c r="H38" i="7"/>
  <c r="H39" s="1"/>
  <c r="L39" s="1"/>
  <c r="E38" i="3"/>
  <c r="E44" s="1"/>
  <c r="F51" i="2"/>
  <c r="J51" s="1"/>
  <c r="F45"/>
  <c r="J45" s="1"/>
  <c r="J44"/>
  <c r="E42" i="7"/>
  <c r="I18" i="8"/>
  <c r="J25" i="1"/>
  <c r="L25"/>
  <c r="C49" i="9"/>
  <c r="C55" s="1"/>
  <c r="H47" i="1"/>
  <c r="J4"/>
  <c r="L4"/>
  <c r="L6" i="9"/>
  <c r="M39" i="3"/>
  <c r="O39" s="1"/>
  <c r="M39" i="7"/>
  <c r="O39" s="1"/>
  <c r="H48" i="1"/>
  <c r="I41" i="9"/>
  <c r="O38" i="7"/>
  <c r="O42"/>
  <c r="J37" i="9"/>
  <c r="I37"/>
  <c r="O38" i="3"/>
  <c r="D49" i="9"/>
  <c r="D55" s="1"/>
  <c r="F49"/>
  <c r="G49"/>
  <c r="G55" s="1"/>
  <c r="I6"/>
  <c r="J38" i="3"/>
  <c r="J44"/>
  <c r="F39"/>
  <c r="J39" s="1"/>
  <c r="E5" i="9"/>
  <c r="L5" i="3"/>
  <c r="I5"/>
  <c r="O47" i="1"/>
  <c r="M54"/>
  <c r="O54" s="1"/>
  <c r="I17" i="9"/>
  <c r="J17"/>
  <c r="O42" i="6"/>
  <c r="N29" i="9"/>
  <c r="N49" s="1"/>
  <c r="I25" i="8"/>
  <c r="L25"/>
  <c r="I45" i="9"/>
  <c r="I30"/>
  <c r="I12"/>
  <c r="M49"/>
  <c r="M55" s="1"/>
  <c r="I26"/>
  <c r="L26"/>
  <c r="I23"/>
  <c r="H5"/>
  <c r="J5" s="1"/>
  <c r="J23"/>
  <c r="L48"/>
  <c r="K45"/>
  <c r="H29"/>
  <c r="J29" s="1"/>
  <c r="J30"/>
  <c r="O43" i="8"/>
  <c r="O37"/>
  <c r="H37" i="6"/>
  <c r="H42" s="1"/>
  <c r="L5"/>
  <c r="I5"/>
  <c r="N51" i="2"/>
  <c r="O51" s="1"/>
  <c r="O44"/>
  <c r="O5" i="9"/>
  <c r="E29"/>
  <c r="I47" i="1" l="1"/>
  <c r="L38" i="3"/>
  <c r="E38" i="8"/>
  <c r="I5"/>
  <c r="L5"/>
  <c r="I39" i="7"/>
  <c r="I5" i="2"/>
  <c r="H44"/>
  <c r="H42" i="7"/>
  <c r="L42" s="1"/>
  <c r="I38"/>
  <c r="L38"/>
  <c r="I38" i="3"/>
  <c r="E39"/>
  <c r="J47" i="1"/>
  <c r="H54"/>
  <c r="J54" s="1"/>
  <c r="L47"/>
  <c r="J48"/>
  <c r="L48"/>
  <c r="I48"/>
  <c r="O48"/>
  <c r="O44" i="3"/>
  <c r="F55" i="9"/>
  <c r="I5"/>
  <c r="H39" i="3"/>
  <c r="O29" i="9"/>
  <c r="L37" i="8"/>
  <c r="L43" s="1"/>
  <c r="I37"/>
  <c r="H38"/>
  <c r="I29" i="9"/>
  <c r="L5"/>
  <c r="H49"/>
  <c r="H55" s="1"/>
  <c r="K29"/>
  <c r="K49" s="1"/>
  <c r="K55" s="1"/>
  <c r="L45"/>
  <c r="I37" i="6"/>
  <c r="H38"/>
  <c r="L37"/>
  <c r="N55" i="9"/>
  <c r="O55" s="1"/>
  <c r="O49"/>
  <c r="E49"/>
  <c r="L44" i="2" l="1"/>
  <c r="H51"/>
  <c r="I51" s="1"/>
  <c r="I44"/>
  <c r="H45"/>
  <c r="I45" s="1"/>
  <c r="I42" i="7"/>
  <c r="L54" i="1"/>
  <c r="I54"/>
  <c r="J55" i="9"/>
  <c r="J49"/>
  <c r="L29"/>
  <c r="L39" i="3"/>
  <c r="I39"/>
  <c r="L44"/>
  <c r="I44"/>
  <c r="I38" i="8"/>
  <c r="L38"/>
  <c r="I43"/>
  <c r="L49" i="9"/>
  <c r="L55"/>
  <c r="I38" i="6"/>
  <c r="L38"/>
  <c r="L42"/>
  <c r="I42"/>
  <c r="I49" i="9"/>
  <c r="E55"/>
  <c r="I55" s="1"/>
  <c r="G5" i="8"/>
  <c r="G37" s="1"/>
  <c r="G43" s="1"/>
  <c r="L45" i="2" l="1"/>
  <c r="L51"/>
  <c r="G38" i="8"/>
</calcChain>
</file>

<file path=xl/sharedStrings.xml><?xml version="1.0" encoding="utf-8"?>
<sst xmlns="http://schemas.openxmlformats.org/spreadsheetml/2006/main" count="487" uniqueCount="144">
  <si>
    <t xml:space="preserve">  ед.налог на ВД</t>
  </si>
  <si>
    <t xml:space="preserve">  арендная плата за землю</t>
  </si>
  <si>
    <t>ВСЕГО ДОХОДОВ</t>
  </si>
  <si>
    <t>НАИМЕНОВАНИЕ ДОХОДНЫХ ИСТОЧНИКОВ</t>
  </si>
  <si>
    <t>Код бюджетной классификации</t>
  </si>
  <si>
    <t xml:space="preserve">                   СВЕДЕНИЯ</t>
  </si>
  <si>
    <t xml:space="preserve"> ДОХОДЫ</t>
  </si>
  <si>
    <t>единый сельхозналог</t>
  </si>
  <si>
    <t>невыясненные поступления</t>
  </si>
  <si>
    <t>НЕДОИМКА</t>
  </si>
  <si>
    <t>% исполнения к годовому плану</t>
  </si>
  <si>
    <t>С В Е Д Е Н И Я</t>
  </si>
  <si>
    <t>налог на имущество ф.л.</t>
  </si>
  <si>
    <t>Земельный налог всего</t>
  </si>
  <si>
    <t>пр. неналоговые доходы</t>
  </si>
  <si>
    <t>Земельный налог</t>
  </si>
  <si>
    <t xml:space="preserve">.налог на имущество ф.л. </t>
  </si>
  <si>
    <t>аренд пл за имущ.в опер упр</t>
  </si>
  <si>
    <t>доходы от эксплуат автодорог</t>
  </si>
  <si>
    <t>Налог на имущество организаций</t>
  </si>
  <si>
    <t xml:space="preserve">  доходы от акций</t>
  </si>
  <si>
    <t>Налоговые доходы</t>
  </si>
  <si>
    <t>Неналоговые доходы</t>
  </si>
  <si>
    <t xml:space="preserve">проч.поступл. от исп. имущ-ва </t>
  </si>
  <si>
    <t>Поправки</t>
  </si>
  <si>
    <t>Безвозмездные поступления</t>
  </si>
  <si>
    <t xml:space="preserve">Аренд плата за землю </t>
  </si>
  <si>
    <t>доходы от экспл автодорог</t>
  </si>
  <si>
    <t>Наименование доходных источников</t>
  </si>
  <si>
    <t>% исполнения к кассовому плану</t>
  </si>
  <si>
    <t>% исполнения к прошлому году</t>
  </si>
  <si>
    <t>доходы от реализ имущ-ва</t>
  </si>
  <si>
    <t>доходы от продажи зем участк</t>
  </si>
  <si>
    <t>прочие неналоговые доходы</t>
  </si>
  <si>
    <t>доходы от платных услуг</t>
  </si>
  <si>
    <t>доходы связ с экспл имущества</t>
  </si>
  <si>
    <t>Безвозм поступл от бюдж др уровн</t>
  </si>
  <si>
    <t>2070500005</t>
  </si>
  <si>
    <t>Прочие дох от комп затрат</t>
  </si>
  <si>
    <t>2070500000</t>
  </si>
  <si>
    <t>на дох физ лиц налоговых агентов</t>
  </si>
  <si>
    <t>зарегистр в кач-ве инд  предприн</t>
  </si>
  <si>
    <t>физические лица  по ст 228</t>
  </si>
  <si>
    <t>зарег в кач-ве инд  предприн</t>
  </si>
  <si>
    <t>на дох физ лиц налог агентов</t>
  </si>
  <si>
    <t>Доходы от продажи имущест</t>
  </si>
  <si>
    <t>Прочие безвозмездн поступления</t>
  </si>
  <si>
    <t>Прочие безвозмездн поступ</t>
  </si>
  <si>
    <t>Акцизы по подакцизным товарам</t>
  </si>
  <si>
    <t>Акцизы на дизельное топливо</t>
  </si>
  <si>
    <t>Акцизы на моторные масла</t>
  </si>
  <si>
    <t>Акцизы на автомобильный бензин</t>
  </si>
  <si>
    <t>Акцизы на прямогонный бензин</t>
  </si>
  <si>
    <t>УСН (доходы)</t>
  </si>
  <si>
    <t>УСН (доходы минус расходы)</t>
  </si>
  <si>
    <t>Налоги на совокупный доход</t>
  </si>
  <si>
    <t>Задолж.по отмен.налог.и сборам</t>
  </si>
  <si>
    <t xml:space="preserve"> Налог на имущество организ</t>
  </si>
  <si>
    <t>арендная пл за землю до разгр</t>
  </si>
  <si>
    <t>аренда земли после разгр</t>
  </si>
  <si>
    <t xml:space="preserve">  арендная плата за имущ.</t>
  </si>
  <si>
    <t>Доходы от использ имущества</t>
  </si>
  <si>
    <t>прочие доходы от комп затрат</t>
  </si>
  <si>
    <t>Н Д Ф Л</t>
  </si>
  <si>
    <t>ГОСПОШЛИНА</t>
  </si>
  <si>
    <t>Плата за негат воздна окр.</t>
  </si>
  <si>
    <t>Доходы от оказ платн услуг</t>
  </si>
  <si>
    <t>ДОХОДЫ ОТ ПРОД АЖИ</t>
  </si>
  <si>
    <t>.ШТРАФЫ, САНКЦИИ</t>
  </si>
  <si>
    <t>ПРОЧ.НЕНАЛОГ.ДОХОДЫ</t>
  </si>
  <si>
    <t>Налог на СОВОКУП.ДОХОД</t>
  </si>
  <si>
    <t>Налоги на ИМУЩЕСТВО</t>
  </si>
  <si>
    <t xml:space="preserve"> Госпошлина</t>
  </si>
  <si>
    <t>Задолженность по зем налогу</t>
  </si>
  <si>
    <t>ДОХОДЫ ОТ ИСП.ИМУЩ.</t>
  </si>
  <si>
    <t xml:space="preserve"> Доходы от продажи имущества</t>
  </si>
  <si>
    <t xml:space="preserve"> Доходы от продажи зем уч</t>
  </si>
  <si>
    <t xml:space="preserve"> Штрафы,санкции</t>
  </si>
  <si>
    <t>Доходы от продажи зем уч</t>
  </si>
  <si>
    <t xml:space="preserve"> Штрафы, санкции</t>
  </si>
  <si>
    <t>Налоги на имущество</t>
  </si>
  <si>
    <t>Плата за негат.возд.на окр.среду</t>
  </si>
  <si>
    <t>Налоги на совокуп доход</t>
  </si>
  <si>
    <t>Госпошлина</t>
  </si>
  <si>
    <t>Зад.по отмен.налог.и сборам</t>
  </si>
  <si>
    <t>Доходы от использ-я  имущ-ва</t>
  </si>
  <si>
    <t>Доходы от продажи</t>
  </si>
  <si>
    <t>Штрафы, санкции</t>
  </si>
  <si>
    <t>Прочие неналог доходы</t>
  </si>
  <si>
    <t xml:space="preserve"> ИТОГО СОБСТВ ДОХОДЫ</t>
  </si>
  <si>
    <t>Акцизы на автобензин</t>
  </si>
  <si>
    <t>Собств доходы без акцизов и родит платы</t>
  </si>
  <si>
    <t>Собств доходы без акцизов</t>
  </si>
  <si>
    <t>Возврат остатков прошл лет</t>
  </si>
  <si>
    <t>2190500005</t>
  </si>
  <si>
    <t>2070500013</t>
  </si>
  <si>
    <t>доходы от выдачи патентов</t>
  </si>
  <si>
    <t>Аренд плата за землю  неразгранич</t>
  </si>
  <si>
    <t>Аренд плата за землю  гор пос</t>
  </si>
  <si>
    <t>Кассовый план на 9 месяцев  2015 года</t>
  </si>
  <si>
    <t>в т.ч. земельный налог организ.</t>
  </si>
  <si>
    <t>в т.ч. земельный налог  физ лиц</t>
  </si>
  <si>
    <t>2040500005</t>
  </si>
  <si>
    <t>Доходы связ с экспл имущества</t>
  </si>
  <si>
    <t xml:space="preserve"> Доходы от продажи зем уч неразгр</t>
  </si>
  <si>
    <t xml:space="preserve"> Доходы от продажи зем уч разгр</t>
  </si>
  <si>
    <t>Аренд плата за землю  разгранич</t>
  </si>
  <si>
    <t>2190500013</t>
  </si>
  <si>
    <t>Доходы от возврата остатков пр лет</t>
  </si>
  <si>
    <t>2196001005</t>
  </si>
  <si>
    <t>Доходы от сдачи в аренду им-ва в казне</t>
  </si>
  <si>
    <t>2186001013</t>
  </si>
  <si>
    <t>доходы от сдачи в аренду им-ва в казне</t>
  </si>
  <si>
    <t>Безвоз. поступл. от негосуд. организ-й</t>
  </si>
  <si>
    <t>инициативные платежи</t>
  </si>
  <si>
    <t>2080500005</t>
  </si>
  <si>
    <t>Перечисления для осуществления возврата</t>
  </si>
  <si>
    <t>2023 год</t>
  </si>
  <si>
    <t>на дох физ лиц с дох свыше 5 млн</t>
  </si>
  <si>
    <t>2040500010</t>
  </si>
  <si>
    <t>2070500010</t>
  </si>
  <si>
    <t>в виде дивидендов (в части суммы налога, не превышающей 650 000 рублей)</t>
  </si>
  <si>
    <t>на 01.01.2024 года</t>
  </si>
  <si>
    <t>2024 год</t>
  </si>
  <si>
    <t>Первоначальный план на 2024 год</t>
  </si>
  <si>
    <t>Уточненный план на 2024 год</t>
  </si>
  <si>
    <t>2080500010</t>
  </si>
  <si>
    <t>Доходы от реализации имущества в опер</t>
  </si>
  <si>
    <t>Фактическое исполнение за январь-ноябрь</t>
  </si>
  <si>
    <t>на 01.12.2024 года</t>
  </si>
  <si>
    <t>2080500013</t>
  </si>
  <si>
    <t>Сведения об исполнении бюджета муниципального района по состоянию на  01 января 2025 года</t>
  </si>
  <si>
    <t>на 01.01.2025 года</t>
  </si>
  <si>
    <t xml:space="preserve">об исполнении бюджета Ленинского городского поселения на 01 января 2025 г. </t>
  </si>
  <si>
    <t>об исполнении бюджета Гостовского сельского поселения на 01 января 2025г.</t>
  </si>
  <si>
    <t>об исполнении бюджета Новотроицкого сельского поселения на 01 января 2025 г.</t>
  </si>
  <si>
    <t>об исполнении бюджета Черновского сельского поселения на 01 января 2025 г.</t>
  </si>
  <si>
    <t xml:space="preserve">об исполнении бюджета муниципального  образования на  01 января 2025 года </t>
  </si>
  <si>
    <t>Поступило за декабрь 2024 года</t>
  </si>
  <si>
    <t>Поступило за декабрь 2023 года</t>
  </si>
  <si>
    <t>Фактическое исполнение за январь-декабрь</t>
  </si>
  <si>
    <t>остатки</t>
  </si>
  <si>
    <t>расходы</t>
  </si>
  <si>
    <t>об исполнении бюджета Высокораменского сельского поселения на 01 января 2025 г.</t>
  </si>
</sst>
</file>

<file path=xl/styles.xml><?xml version="1.0" encoding="utf-8"?>
<styleSheet xmlns="http://schemas.openxmlformats.org/spreadsheetml/2006/main">
  <numFmts count="6">
    <numFmt numFmtId="164" formatCode="0.0%"/>
    <numFmt numFmtId="165" formatCode="0.0"/>
    <numFmt numFmtId="166" formatCode="0.000"/>
    <numFmt numFmtId="167" formatCode="000000"/>
    <numFmt numFmtId="168" formatCode="#,##0.0"/>
    <numFmt numFmtId="169" formatCode="#,##0.000"/>
  </numFmts>
  <fonts count="21">
    <font>
      <sz val="10"/>
      <name val="Arial Cyr"/>
      <charset val="204"/>
    </font>
    <font>
      <sz val="10"/>
      <name val="Arial Cyr"/>
      <charset val="204"/>
    </font>
    <font>
      <sz val="2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4"/>
      <name val="Arial Cyr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name val="Arial Cyr"/>
      <family val="2"/>
      <charset val="204"/>
    </font>
    <font>
      <b/>
      <sz val="10"/>
      <name val="Arial Cyr"/>
      <charset val="204"/>
    </font>
    <font>
      <sz val="16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top" wrapText="1"/>
    </xf>
    <xf numFmtId="165" fontId="3" fillId="2" borderId="0" xfId="0" applyNumberFormat="1" applyFont="1" applyFill="1" applyBorder="1"/>
    <xf numFmtId="165" fontId="3" fillId="0" borderId="0" xfId="0" applyNumberFormat="1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7" fillId="4" borderId="3" xfId="0" applyFont="1" applyFill="1" applyBorder="1"/>
    <xf numFmtId="0" fontId="8" fillId="2" borderId="3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2" borderId="3" xfId="0" applyFont="1" applyFill="1" applyBorder="1"/>
    <xf numFmtId="0" fontId="7" fillId="3" borderId="3" xfId="0" applyFont="1" applyFill="1" applyBorder="1" applyAlignment="1">
      <alignment horizontal="center"/>
    </xf>
    <xf numFmtId="0" fontId="8" fillId="0" borderId="3" xfId="0" applyFont="1" applyFill="1" applyBorder="1"/>
    <xf numFmtId="0" fontId="7" fillId="5" borderId="3" xfId="0" applyFont="1" applyFill="1" applyBorder="1"/>
    <xf numFmtId="0" fontId="9" fillId="3" borderId="3" xfId="0" applyFont="1" applyFill="1" applyBorder="1" applyAlignment="1">
      <alignment horizontal="center"/>
    </xf>
    <xf numFmtId="0" fontId="9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9" fillId="3" borderId="3" xfId="0" applyFont="1" applyFill="1" applyBorder="1"/>
    <xf numFmtId="0" fontId="10" fillId="2" borderId="3" xfId="0" applyFont="1" applyFill="1" applyBorder="1"/>
    <xf numFmtId="0" fontId="10" fillId="0" borderId="3" xfId="0" applyFont="1" applyFill="1" applyBorder="1"/>
    <xf numFmtId="0" fontId="9" fillId="5" borderId="3" xfId="0" applyFont="1" applyFill="1" applyBorder="1"/>
    <xf numFmtId="49" fontId="10" fillId="2" borderId="3" xfId="0" applyNumberFormat="1" applyFont="1" applyFill="1" applyBorder="1" applyAlignment="1">
      <alignment horizontal="right"/>
    </xf>
    <xf numFmtId="0" fontId="10" fillId="5" borderId="3" xfId="0" applyFont="1" applyFill="1" applyBorder="1"/>
    <xf numFmtId="0" fontId="8" fillId="0" borderId="0" xfId="0" applyFont="1"/>
    <xf numFmtId="165" fontId="8" fillId="0" borderId="0" xfId="0" applyNumberFormat="1" applyFont="1"/>
    <xf numFmtId="0" fontId="11" fillId="2" borderId="3" xfId="0" applyFont="1" applyFill="1" applyBorder="1"/>
    <xf numFmtId="0" fontId="7" fillId="3" borderId="3" xfId="0" applyFont="1" applyFill="1" applyBorder="1" applyAlignment="1">
      <alignment wrapText="1"/>
    </xf>
    <xf numFmtId="0" fontId="8" fillId="4" borderId="3" xfId="0" applyFont="1" applyFill="1" applyBorder="1"/>
    <xf numFmtId="0" fontId="8" fillId="2" borderId="4" xfId="0" applyFont="1" applyFill="1" applyBorder="1"/>
    <xf numFmtId="0" fontId="7" fillId="3" borderId="3" xfId="0" applyFont="1" applyFill="1" applyBorder="1"/>
    <xf numFmtId="0" fontId="8" fillId="0" borderId="3" xfId="0" applyFont="1" applyBorder="1"/>
    <xf numFmtId="49" fontId="8" fillId="2" borderId="3" xfId="0" applyNumberFormat="1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wrapText="1"/>
    </xf>
    <xf numFmtId="0" fontId="6" fillId="4" borderId="3" xfId="0" applyFont="1" applyFill="1" applyBorder="1"/>
    <xf numFmtId="0" fontId="6" fillId="4" borderId="3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12" fillId="3" borderId="3" xfId="0" applyFont="1" applyFill="1" applyBorder="1" applyAlignment="1">
      <alignment horizontal="center" wrapText="1"/>
    </xf>
    <xf numFmtId="0" fontId="12" fillId="3" borderId="3" xfId="0" applyFont="1" applyFill="1" applyBorder="1"/>
    <xf numFmtId="0" fontId="12" fillId="4" borderId="3" xfId="0" applyFont="1" applyFill="1" applyBorder="1"/>
    <xf numFmtId="0" fontId="6" fillId="0" borderId="3" xfId="0" applyFont="1" applyFill="1" applyBorder="1"/>
    <xf numFmtId="49" fontId="6" fillId="2" borderId="3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8" fillId="4" borderId="4" xfId="0" applyFont="1" applyFill="1" applyBorder="1"/>
    <xf numFmtId="0" fontId="8" fillId="2" borderId="0" xfId="0" applyFont="1" applyFill="1"/>
    <xf numFmtId="0" fontId="8" fillId="4" borderId="0" xfId="0" applyFont="1" applyFill="1" applyBorder="1"/>
    <xf numFmtId="0" fontId="14" fillId="3" borderId="3" xfId="0" applyFont="1" applyFill="1" applyBorder="1" applyAlignment="1">
      <alignment wrapText="1"/>
    </xf>
    <xf numFmtId="164" fontId="14" fillId="3" borderId="3" xfId="1" applyNumberFormat="1" applyFont="1" applyFill="1" applyBorder="1"/>
    <xf numFmtId="0" fontId="15" fillId="4" borderId="3" xfId="0" applyFont="1" applyFill="1" applyBorder="1" applyAlignment="1">
      <alignment wrapText="1"/>
    </xf>
    <xf numFmtId="164" fontId="15" fillId="4" borderId="3" xfId="1" applyNumberFormat="1" applyFont="1" applyFill="1" applyBorder="1"/>
    <xf numFmtId="0" fontId="15" fillId="0" borderId="3" xfId="0" applyFont="1" applyBorder="1" applyAlignment="1">
      <alignment wrapText="1"/>
    </xf>
    <xf numFmtId="0" fontId="15" fillId="0" borderId="3" xfId="0" applyFont="1" applyBorder="1"/>
    <xf numFmtId="164" fontId="15" fillId="2" borderId="3" xfId="1" applyNumberFormat="1" applyFont="1" applyFill="1" applyBorder="1"/>
    <xf numFmtId="0" fontId="15" fillId="4" borderId="3" xfId="0" applyFont="1" applyFill="1" applyBorder="1"/>
    <xf numFmtId="164" fontId="5" fillId="3" borderId="4" xfId="1" applyNumberFormat="1" applyFont="1" applyFill="1" applyBorder="1"/>
    <xf numFmtId="0" fontId="16" fillId="4" borderId="4" xfId="0" applyFont="1" applyFill="1" applyBorder="1"/>
    <xf numFmtId="164" fontId="16" fillId="4" borderId="4" xfId="1" applyNumberFormat="1" applyFont="1" applyFill="1" applyBorder="1"/>
    <xf numFmtId="0" fontId="16" fillId="2" borderId="4" xfId="0" applyFont="1" applyFill="1" applyBorder="1"/>
    <xf numFmtId="165" fontId="16" fillId="2" borderId="3" xfId="0" applyNumberFormat="1" applyFont="1" applyFill="1" applyBorder="1"/>
    <xf numFmtId="165" fontId="16" fillId="2" borderId="4" xfId="0" applyNumberFormat="1" applyFont="1" applyFill="1" applyBorder="1"/>
    <xf numFmtId="164" fontId="16" fillId="2" borderId="4" xfId="1" applyNumberFormat="1" applyFont="1" applyFill="1" applyBorder="1"/>
    <xf numFmtId="0" fontId="16" fillId="2" borderId="3" xfId="0" applyFont="1" applyFill="1" applyBorder="1"/>
    <xf numFmtId="0" fontId="16" fillId="4" borderId="3" xfId="0" applyFont="1" applyFill="1" applyBorder="1"/>
    <xf numFmtId="165" fontId="16" fillId="4" borderId="3" xfId="0" applyNumberFormat="1" applyFont="1" applyFill="1" applyBorder="1"/>
    <xf numFmtId="0" fontId="16" fillId="2" borderId="3" xfId="0" applyNumberFormat="1" applyFont="1" applyFill="1" applyBorder="1"/>
    <xf numFmtId="165" fontId="16" fillId="4" borderId="4" xfId="0" applyNumberFormat="1" applyFont="1" applyFill="1" applyBorder="1"/>
    <xf numFmtId="0" fontId="5" fillId="3" borderId="3" xfId="0" applyFont="1" applyFill="1" applyBorder="1"/>
    <xf numFmtId="164" fontId="16" fillId="2" borderId="3" xfId="1" applyNumberFormat="1" applyFont="1" applyFill="1" applyBorder="1"/>
    <xf numFmtId="166" fontId="5" fillId="4" borderId="3" xfId="0" applyNumberFormat="1" applyFont="1" applyFill="1" applyBorder="1"/>
    <xf numFmtId="165" fontId="5" fillId="4" borderId="3" xfId="0" applyNumberFormat="1" applyFont="1" applyFill="1" applyBorder="1"/>
    <xf numFmtId="164" fontId="5" fillId="4" borderId="4" xfId="1" applyNumberFormat="1" applyFont="1" applyFill="1" applyBorder="1"/>
    <xf numFmtId="166" fontId="16" fillId="2" borderId="4" xfId="0" applyNumberFormat="1" applyFont="1" applyFill="1" applyBorder="1"/>
    <xf numFmtId="2" fontId="16" fillId="2" borderId="3" xfId="0" applyNumberFormat="1" applyFont="1" applyFill="1" applyBorder="1"/>
    <xf numFmtId="166" fontId="16" fillId="2" borderId="3" xfId="0" applyNumberFormat="1" applyFont="1" applyFill="1" applyBorder="1"/>
    <xf numFmtId="2" fontId="5" fillId="3" borderId="4" xfId="0" applyNumberFormat="1" applyFont="1" applyFill="1" applyBorder="1" applyAlignment="1">
      <alignment wrapText="1"/>
    </xf>
    <xf numFmtId="2" fontId="16" fillId="4" borderId="4" xfId="0" applyNumberFormat="1" applyFont="1" applyFill="1" applyBorder="1"/>
    <xf numFmtId="165" fontId="5" fillId="3" borderId="3" xfId="0" applyNumberFormat="1" applyFont="1" applyFill="1" applyBorder="1"/>
    <xf numFmtId="164" fontId="16" fillId="4" borderId="3" xfId="1" applyNumberFormat="1" applyFont="1" applyFill="1" applyBorder="1"/>
    <xf numFmtId="2" fontId="5" fillId="4" borderId="3" xfId="0" applyNumberFormat="1" applyFont="1" applyFill="1" applyBorder="1"/>
    <xf numFmtId="0" fontId="5" fillId="3" borderId="3" xfId="0" applyFont="1" applyFill="1" applyBorder="1" applyAlignment="1">
      <alignment wrapText="1"/>
    </xf>
    <xf numFmtId="164" fontId="5" fillId="3" borderId="3" xfId="1" applyNumberFormat="1" applyFont="1" applyFill="1" applyBorder="1"/>
    <xf numFmtId="164" fontId="5" fillId="4" borderId="3" xfId="1" applyNumberFormat="1" applyFont="1" applyFill="1" applyBorder="1"/>
    <xf numFmtId="0" fontId="5" fillId="4" borderId="3" xfId="0" applyFont="1" applyFill="1" applyBorder="1"/>
    <xf numFmtId="0" fontId="16" fillId="4" borderId="3" xfId="0" applyNumberFormat="1" applyFont="1" applyFill="1" applyBorder="1"/>
    <xf numFmtId="2" fontId="13" fillId="3" borderId="3" xfId="0" applyNumberFormat="1" applyFont="1" applyFill="1" applyBorder="1" applyAlignment="1">
      <alignment horizontal="right"/>
    </xf>
    <xf numFmtId="164" fontId="13" fillId="3" borderId="3" xfId="1" applyNumberFormat="1" applyFont="1" applyFill="1" applyBorder="1"/>
    <xf numFmtId="165" fontId="13" fillId="4" borderId="3" xfId="0" applyNumberFormat="1" applyFont="1" applyFill="1" applyBorder="1"/>
    <xf numFmtId="164" fontId="13" fillId="4" borderId="3" xfId="1" applyNumberFormat="1" applyFont="1" applyFill="1" applyBorder="1"/>
    <xf numFmtId="0" fontId="13" fillId="2" borderId="3" xfId="0" applyFont="1" applyFill="1" applyBorder="1"/>
    <xf numFmtId="2" fontId="13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/>
    <xf numFmtId="164" fontId="13" fillId="2" borderId="3" xfId="1" applyNumberFormat="1" applyFont="1" applyFill="1" applyBorder="1"/>
    <xf numFmtId="165" fontId="13" fillId="2" borderId="3" xfId="0" applyNumberFormat="1" applyFont="1" applyFill="1" applyBorder="1" applyAlignment="1">
      <alignment horizontal="right" vertical="center" wrapText="1"/>
    </xf>
    <xf numFmtId="0" fontId="13" fillId="4" borderId="3" xfId="0" applyFont="1" applyFill="1" applyBorder="1"/>
    <xf numFmtId="2" fontId="13" fillId="4" borderId="3" xfId="0" applyNumberFormat="1" applyFont="1" applyFill="1" applyBorder="1"/>
    <xf numFmtId="165" fontId="13" fillId="4" borderId="3" xfId="0" applyNumberFormat="1" applyFont="1" applyFill="1" applyBorder="1" applyAlignment="1">
      <alignment horizontal="right" vertical="center" wrapText="1"/>
    </xf>
    <xf numFmtId="0" fontId="17" fillId="4" borderId="3" xfId="0" applyFont="1" applyFill="1" applyBorder="1"/>
    <xf numFmtId="166" fontId="13" fillId="3" borderId="3" xfId="0" applyNumberFormat="1" applyFont="1" applyFill="1" applyBorder="1"/>
    <xf numFmtId="0" fontId="13" fillId="3" borderId="3" xfId="0" applyFont="1" applyFill="1" applyBorder="1"/>
    <xf numFmtId="0" fontId="17" fillId="2" borderId="3" xfId="0" applyFont="1" applyFill="1" applyBorder="1"/>
    <xf numFmtId="0" fontId="13" fillId="0" borderId="3" xfId="0" applyFont="1" applyFill="1" applyBorder="1"/>
    <xf numFmtId="165" fontId="13" fillId="0" borderId="3" xfId="0" applyNumberFormat="1" applyFont="1" applyFill="1" applyBorder="1"/>
    <xf numFmtId="0" fontId="17" fillId="0" borderId="3" xfId="0" applyFont="1" applyFill="1" applyBorder="1"/>
    <xf numFmtId="166" fontId="13" fillId="5" borderId="3" xfId="0" applyNumberFormat="1" applyFont="1" applyFill="1" applyBorder="1"/>
    <xf numFmtId="0" fontId="13" fillId="5" borderId="3" xfId="0" applyFont="1" applyFill="1" applyBorder="1"/>
    <xf numFmtId="0" fontId="13" fillId="5" borderId="3" xfId="0" applyFont="1" applyFill="1" applyBorder="1" applyAlignment="1">
      <alignment horizontal="right"/>
    </xf>
    <xf numFmtId="165" fontId="13" fillId="5" borderId="3" xfId="0" applyNumberFormat="1" applyFont="1" applyFill="1" applyBorder="1"/>
    <xf numFmtId="164" fontId="13" fillId="5" borderId="3" xfId="1" applyNumberFormat="1" applyFont="1" applyFill="1" applyBorder="1"/>
    <xf numFmtId="166" fontId="13" fillId="2" borderId="3" xfId="0" applyNumberFormat="1" applyFont="1" applyFill="1" applyBorder="1"/>
    <xf numFmtId="166" fontId="13" fillId="2" borderId="3" xfId="0" applyNumberFormat="1" applyFont="1" applyFill="1" applyBorder="1" applyAlignment="1">
      <alignment horizontal="right" vertical="center" wrapText="1"/>
    </xf>
    <xf numFmtId="165" fontId="13" fillId="3" borderId="3" xfId="0" applyNumberFormat="1" applyFont="1" applyFill="1" applyBorder="1" applyAlignment="1">
      <alignment horizontal="right"/>
    </xf>
    <xf numFmtId="165" fontId="14" fillId="3" borderId="3" xfId="0" applyNumberFormat="1" applyFont="1" applyFill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166" fontId="13" fillId="3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horizontal="center" vertical="center" wrapText="1"/>
    </xf>
    <xf numFmtId="2" fontId="16" fillId="4" borderId="3" xfId="0" applyNumberFormat="1" applyFont="1" applyFill="1" applyBorder="1"/>
    <xf numFmtId="49" fontId="15" fillId="2" borderId="3" xfId="0" applyNumberFormat="1" applyFont="1" applyFill="1" applyBorder="1" applyAlignment="1">
      <alignment horizontal="right"/>
    </xf>
    <xf numFmtId="166" fontId="16" fillId="4" borderId="3" xfId="0" applyNumberFormat="1" applyFont="1" applyFill="1" applyBorder="1"/>
    <xf numFmtId="0" fontId="16" fillId="2" borderId="5" xfId="0" applyFont="1" applyFill="1" applyBorder="1"/>
    <xf numFmtId="166" fontId="15" fillId="0" borderId="3" xfId="0" applyNumberFormat="1" applyFont="1" applyBorder="1"/>
    <xf numFmtId="165" fontId="19" fillId="0" borderId="0" xfId="0" applyNumberFormat="1" applyFont="1"/>
    <xf numFmtId="0" fontId="14" fillId="3" borderId="3" xfId="0" applyNumberFormat="1" applyFont="1" applyFill="1" applyBorder="1" applyAlignment="1">
      <alignment wrapText="1"/>
    </xf>
    <xf numFmtId="0" fontId="15" fillId="4" borderId="3" xfId="0" applyNumberFormat="1" applyFont="1" applyFill="1" applyBorder="1" applyAlignment="1">
      <alignment wrapText="1"/>
    </xf>
    <xf numFmtId="0" fontId="15" fillId="0" borderId="3" xfId="0" applyNumberFormat="1" applyFont="1" applyBorder="1"/>
    <xf numFmtId="0" fontId="15" fillId="4" borderId="3" xfId="0" applyNumberFormat="1" applyFont="1" applyFill="1" applyBorder="1"/>
    <xf numFmtId="165" fontId="0" fillId="0" borderId="0" xfId="0" applyNumberFormat="1"/>
    <xf numFmtId="2" fontId="5" fillId="3" borderId="3" xfId="0" applyNumberFormat="1" applyFont="1" applyFill="1" applyBorder="1" applyAlignment="1">
      <alignment wrapText="1"/>
    </xf>
    <xf numFmtId="0" fontId="12" fillId="6" borderId="3" xfId="0" applyFont="1" applyFill="1" applyBorder="1"/>
    <xf numFmtId="0" fontId="15" fillId="6" borderId="3" xfId="0" applyFont="1" applyFill="1" applyBorder="1"/>
    <xf numFmtId="0" fontId="8" fillId="0" borderId="7" xfId="0" applyFont="1" applyFill="1" applyBorder="1"/>
    <xf numFmtId="166" fontId="5" fillId="3" borderId="3" xfId="0" applyNumberFormat="1" applyFont="1" applyFill="1" applyBorder="1"/>
    <xf numFmtId="166" fontId="13" fillId="4" borderId="3" xfId="0" applyNumberFormat="1" applyFont="1" applyFill="1" applyBorder="1"/>
    <xf numFmtId="164" fontId="5" fillId="0" borderId="8" xfId="1" applyNumberFormat="1" applyFont="1" applyFill="1" applyBorder="1"/>
    <xf numFmtId="164" fontId="16" fillId="0" borderId="8" xfId="1" applyNumberFormat="1" applyFont="1" applyFill="1" applyBorder="1"/>
    <xf numFmtId="2" fontId="13" fillId="0" borderId="3" xfId="0" applyNumberFormat="1" applyFont="1" applyFill="1" applyBorder="1"/>
    <xf numFmtId="49" fontId="6" fillId="2" borderId="3" xfId="0" applyNumberFormat="1" applyFont="1" applyFill="1" applyBorder="1" applyAlignment="1">
      <alignment horizontal="center"/>
    </xf>
    <xf numFmtId="0" fontId="0" fillId="0" borderId="0" xfId="0" applyBorder="1"/>
    <xf numFmtId="165" fontId="5" fillId="0" borderId="5" xfId="0" applyNumberFormat="1" applyFont="1" applyFill="1" applyBorder="1"/>
    <xf numFmtId="166" fontId="14" fillId="3" borderId="3" xfId="0" applyNumberFormat="1" applyFont="1" applyFill="1" applyBorder="1" applyAlignment="1">
      <alignment wrapText="1"/>
    </xf>
    <xf numFmtId="0" fontId="16" fillId="0" borderId="0" xfId="0" applyFont="1"/>
    <xf numFmtId="0" fontId="8" fillId="0" borderId="0" xfId="0" applyFont="1" applyBorder="1"/>
    <xf numFmtId="0" fontId="8" fillId="2" borderId="8" xfId="0" applyFont="1" applyFill="1" applyBorder="1"/>
    <xf numFmtId="0" fontId="8" fillId="2" borderId="5" xfId="0" applyFont="1" applyFill="1" applyBorder="1"/>
    <xf numFmtId="0" fontId="8" fillId="0" borderId="5" xfId="0" applyFont="1" applyFill="1" applyBorder="1"/>
    <xf numFmtId="166" fontId="8" fillId="0" borderId="0" xfId="0" applyNumberFormat="1" applyFont="1"/>
    <xf numFmtId="166" fontId="0" fillId="0" borderId="0" xfId="0" applyNumberFormat="1"/>
    <xf numFmtId="165" fontId="16" fillId="0" borderId="8" xfId="0" applyNumberFormat="1" applyFont="1" applyFill="1" applyBorder="1"/>
    <xf numFmtId="167" fontId="6" fillId="2" borderId="3" xfId="0" applyNumberFormat="1" applyFont="1" applyFill="1" applyBorder="1"/>
    <xf numFmtId="0" fontId="6" fillId="2" borderId="3" xfId="0" applyFont="1" applyFill="1" applyBorder="1" applyAlignment="1">
      <alignment horizontal="left"/>
    </xf>
    <xf numFmtId="0" fontId="20" fillId="2" borderId="3" xfId="0" applyFont="1" applyFill="1" applyBorder="1"/>
    <xf numFmtId="167" fontId="11" fillId="2" borderId="3" xfId="0" applyNumberFormat="1" applyFont="1" applyFill="1" applyBorder="1"/>
    <xf numFmtId="166" fontId="13" fillId="5" borderId="3" xfId="0" applyNumberFormat="1" applyFont="1" applyFill="1" applyBorder="1" applyAlignment="1">
      <alignment horizontal="right"/>
    </xf>
    <xf numFmtId="165" fontId="15" fillId="0" borderId="3" xfId="0" applyNumberFormat="1" applyFont="1" applyBorder="1"/>
    <xf numFmtId="2" fontId="13" fillId="2" borderId="3" xfId="0" applyNumberFormat="1" applyFont="1" applyFill="1" applyBorder="1"/>
    <xf numFmtId="0" fontId="15" fillId="2" borderId="3" xfId="0" applyFont="1" applyFill="1" applyBorder="1"/>
    <xf numFmtId="0" fontId="6" fillId="2" borderId="3" xfId="0" applyFont="1" applyFill="1" applyBorder="1" applyAlignment="1">
      <alignment horizontal="center"/>
    </xf>
    <xf numFmtId="49" fontId="15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vertical="top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8" fontId="5" fillId="3" borderId="3" xfId="0" applyNumberFormat="1" applyFont="1" applyFill="1" applyBorder="1" applyAlignment="1">
      <alignment wrapText="1"/>
    </xf>
    <xf numFmtId="168" fontId="5" fillId="3" borderId="3" xfId="1" applyNumberFormat="1" applyFont="1" applyFill="1" applyBorder="1"/>
    <xf numFmtId="168" fontId="16" fillId="4" borderId="3" xfId="0" applyNumberFormat="1" applyFont="1" applyFill="1" applyBorder="1"/>
    <xf numFmtId="168" fontId="16" fillId="4" borderId="3" xfId="1" applyNumberFormat="1" applyFont="1" applyFill="1" applyBorder="1"/>
    <xf numFmtId="168" fontId="16" fillId="2" borderId="3" xfId="0" applyNumberFormat="1" applyFont="1" applyFill="1" applyBorder="1"/>
    <xf numFmtId="168" fontId="16" fillId="2" borderId="3" xfId="1" applyNumberFormat="1" applyFont="1" applyFill="1" applyBorder="1"/>
    <xf numFmtId="168" fontId="16" fillId="2" borderId="4" xfId="0" applyNumberFormat="1" applyFont="1" applyFill="1" applyBorder="1"/>
    <xf numFmtId="168" fontId="16" fillId="2" borderId="4" xfId="1" applyNumberFormat="1" applyFont="1" applyFill="1" applyBorder="1"/>
    <xf numFmtId="168" fontId="16" fillId="4" borderId="4" xfId="1" applyNumberFormat="1" applyFont="1" applyFill="1" applyBorder="1"/>
    <xf numFmtId="168" fontId="16" fillId="4" borderId="4" xfId="0" applyNumberFormat="1" applyFont="1" applyFill="1" applyBorder="1"/>
    <xf numFmtId="168" fontId="5" fillId="3" borderId="3" xfId="0" applyNumberFormat="1" applyFont="1" applyFill="1" applyBorder="1"/>
    <xf numFmtId="168" fontId="5" fillId="3" borderId="4" xfId="1" applyNumberFormat="1" applyFont="1" applyFill="1" applyBorder="1"/>
    <xf numFmtId="168" fontId="15" fillId="0" borderId="3" xfId="0" applyNumberFormat="1" applyFont="1" applyBorder="1"/>
    <xf numFmtId="168" fontId="16" fillId="6" borderId="3" xfId="0" applyNumberFormat="1" applyFont="1" applyFill="1" applyBorder="1"/>
    <xf numFmtId="168" fontId="16" fillId="6" borderId="4" xfId="0" applyNumberFormat="1" applyFont="1" applyFill="1" applyBorder="1"/>
    <xf numFmtId="168" fontId="16" fillId="6" borderId="4" xfId="1" applyNumberFormat="1" applyFont="1" applyFill="1" applyBorder="1"/>
    <xf numFmtId="168" fontId="16" fillId="0" borderId="3" xfId="0" applyNumberFormat="1" applyFont="1" applyFill="1" applyBorder="1"/>
    <xf numFmtId="168" fontId="16" fillId="0" borderId="4" xfId="0" applyNumberFormat="1" applyFont="1" applyFill="1" applyBorder="1"/>
    <xf numFmtId="168" fontId="16" fillId="0" borderId="4" xfId="1" applyNumberFormat="1" applyFont="1" applyFill="1" applyBorder="1"/>
    <xf numFmtId="168" fontId="16" fillId="6" borderId="6" xfId="0" applyNumberFormat="1" applyFont="1" applyFill="1" applyBorder="1"/>
    <xf numFmtId="168" fontId="16" fillId="0" borderId="6" xfId="0" applyNumberFormat="1" applyFont="1" applyFill="1" applyBorder="1"/>
    <xf numFmtId="168" fontId="5" fillId="4" borderId="3" xfId="0" applyNumberFormat="1" applyFont="1" applyFill="1" applyBorder="1"/>
    <xf numFmtId="168" fontId="5" fillId="4" borderId="4" xfId="1" applyNumberFormat="1" applyFont="1" applyFill="1" applyBorder="1"/>
    <xf numFmtId="0" fontId="7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wrapText="1"/>
    </xf>
    <xf numFmtId="0" fontId="16" fillId="6" borderId="3" xfId="0" applyFont="1" applyFill="1" applyBorder="1"/>
    <xf numFmtId="0" fontId="16" fillId="0" borderId="3" xfId="0" applyFont="1" applyFill="1" applyBorder="1"/>
    <xf numFmtId="0" fontId="16" fillId="6" borderId="6" xfId="0" applyFont="1" applyFill="1" applyBorder="1"/>
    <xf numFmtId="0" fontId="5" fillId="4" borderId="3" xfId="0" applyNumberFormat="1" applyFont="1" applyFill="1" applyBorder="1"/>
    <xf numFmtId="0" fontId="5" fillId="7" borderId="3" xfId="0" applyFont="1" applyFill="1" applyBorder="1"/>
    <xf numFmtId="0" fontId="16" fillId="8" borderId="3" xfId="0" applyFont="1" applyFill="1" applyBorder="1"/>
    <xf numFmtId="0" fontId="16" fillId="9" borderId="3" xfId="0" applyFont="1" applyFill="1" applyBorder="1"/>
    <xf numFmtId="165" fontId="5" fillId="9" borderId="3" xfId="0" applyNumberFormat="1" applyFont="1" applyFill="1" applyBorder="1"/>
    <xf numFmtId="0" fontId="16" fillId="10" borderId="3" xfId="0" applyFont="1" applyFill="1" applyBorder="1"/>
    <xf numFmtId="164" fontId="16" fillId="10" borderId="3" xfId="1" applyNumberFormat="1" applyFont="1" applyFill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/>
    </xf>
    <xf numFmtId="165" fontId="13" fillId="9" borderId="3" xfId="0" applyNumberFormat="1" applyFont="1" applyFill="1" applyBorder="1"/>
    <xf numFmtId="0" fontId="13" fillId="9" borderId="3" xfId="0" applyFont="1" applyFill="1" applyBorder="1"/>
    <xf numFmtId="165" fontId="13" fillId="11" borderId="3" xfId="0" applyNumberFormat="1" applyFont="1" applyFill="1" applyBorder="1"/>
    <xf numFmtId="0" fontId="20" fillId="0" borderId="0" xfId="0" applyFont="1"/>
    <xf numFmtId="0" fontId="0" fillId="0" borderId="3" xfId="0" applyBorder="1"/>
    <xf numFmtId="0" fontId="15" fillId="9" borderId="3" xfId="0" applyFont="1" applyFill="1" applyBorder="1" applyAlignment="1">
      <alignment wrapText="1"/>
    </xf>
    <xf numFmtId="0" fontId="15" fillId="9" borderId="3" xfId="0" applyNumberFormat="1" applyFont="1" applyFill="1" applyBorder="1" applyAlignment="1">
      <alignment wrapText="1"/>
    </xf>
    <xf numFmtId="164" fontId="15" fillId="9" borderId="3" xfId="1" applyNumberFormat="1" applyFont="1" applyFill="1" applyBorder="1"/>
    <xf numFmtId="0" fontId="8" fillId="7" borderId="3" xfId="0" applyFont="1" applyFill="1" applyBorder="1"/>
    <xf numFmtId="10" fontId="5" fillId="3" borderId="3" xfId="1" applyNumberFormat="1" applyFont="1" applyFill="1" applyBorder="1"/>
    <xf numFmtId="10" fontId="16" fillId="4" borderId="3" xfId="1" applyNumberFormat="1" applyFont="1" applyFill="1" applyBorder="1"/>
    <xf numFmtId="10" fontId="16" fillId="2" borderId="3" xfId="1" applyNumberFormat="1" applyFont="1" applyFill="1" applyBorder="1"/>
    <xf numFmtId="10" fontId="16" fillId="2" borderId="4" xfId="1" applyNumberFormat="1" applyFont="1" applyFill="1" applyBorder="1"/>
    <xf numFmtId="10" fontId="16" fillId="4" borderId="4" xfId="1" applyNumberFormat="1" applyFont="1" applyFill="1" applyBorder="1"/>
    <xf numFmtId="10" fontId="5" fillId="3" borderId="4" xfId="1" applyNumberFormat="1" applyFont="1" applyFill="1" applyBorder="1"/>
    <xf numFmtId="10" fontId="16" fillId="6" borderId="4" xfId="1" applyNumberFormat="1" applyFont="1" applyFill="1" applyBorder="1"/>
    <xf numFmtId="10" fontId="16" fillId="0" borderId="4" xfId="1" applyNumberFormat="1" applyFont="1" applyFill="1" applyBorder="1"/>
    <xf numFmtId="10" fontId="5" fillId="4" borderId="4" xfId="1" applyNumberFormat="1" applyFont="1" applyFill="1" applyBorder="1"/>
    <xf numFmtId="164" fontId="16" fillId="6" borderId="4" xfId="1" applyNumberFormat="1" applyFont="1" applyFill="1" applyBorder="1"/>
    <xf numFmtId="164" fontId="16" fillId="0" borderId="4" xfId="1" applyNumberFormat="1" applyFont="1" applyFill="1" applyBorder="1"/>
    <xf numFmtId="164" fontId="16" fillId="4" borderId="3" xfId="0" applyNumberFormat="1" applyFont="1" applyFill="1" applyBorder="1"/>
    <xf numFmtId="169" fontId="16" fillId="4" borderId="3" xfId="0" applyNumberFormat="1" applyFont="1" applyFill="1" applyBorder="1"/>
    <xf numFmtId="169" fontId="16" fillId="4" borderId="4" xfId="0" applyNumberFormat="1" applyFont="1" applyFill="1" applyBorder="1"/>
    <xf numFmtId="169" fontId="5" fillId="4" borderId="3" xfId="0" applyNumberFormat="1" applyFont="1" applyFill="1" applyBorder="1"/>
    <xf numFmtId="169" fontId="5" fillId="3" borderId="3" xfId="0" applyNumberFormat="1" applyFont="1" applyFill="1" applyBorder="1"/>
    <xf numFmtId="0" fontId="16" fillId="0" borderId="3" xfId="0" applyFont="1" applyBorder="1"/>
    <xf numFmtId="166" fontId="13" fillId="4" borderId="3" xfId="0" applyNumberFormat="1" applyFont="1" applyFill="1" applyBorder="1" applyAlignment="1">
      <alignment horizontal="right" vertical="center" wrapText="1"/>
    </xf>
    <xf numFmtId="165" fontId="15" fillId="4" borderId="3" xfId="0" applyNumberFormat="1" applyFont="1" applyFill="1" applyBorder="1" applyAlignment="1">
      <alignment wrapText="1"/>
    </xf>
    <xf numFmtId="165" fontId="15" fillId="4" borderId="3" xfId="0" applyNumberFormat="1" applyFont="1" applyFill="1" applyBorder="1"/>
    <xf numFmtId="165" fontId="15" fillId="9" borderId="3" xfId="0" applyNumberFormat="1" applyFont="1" applyFill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164" fontId="16" fillId="0" borderId="3" xfId="1" applyNumberFormat="1" applyFont="1" applyFill="1" applyBorder="1"/>
    <xf numFmtId="0" fontId="5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zoomScaleNormal="100" zoomScaleSheetLayoutView="50" workbookViewId="0">
      <pane xSplit="2" ySplit="4" topLeftCell="D14" activePane="bottomRight" state="frozen"/>
      <selection pane="topRight" activeCell="C1" sqref="C1"/>
      <selection pane="bottomLeft" activeCell="A5" sqref="A5"/>
      <selection pane="bottomRight" activeCell="R32" sqref="R32"/>
    </sheetView>
  </sheetViews>
  <sheetFormatPr defaultRowHeight="12.75"/>
  <cols>
    <col min="1" max="1" width="40.85546875" customWidth="1"/>
    <col min="2" max="2" width="14" customWidth="1"/>
    <col min="3" max="3" width="16" customWidth="1"/>
    <col min="4" max="4" width="14.42578125" customWidth="1"/>
    <col min="5" max="5" width="17" customWidth="1"/>
    <col min="6" max="6" width="11.85546875" hidden="1" customWidth="1"/>
    <col min="7" max="7" width="13" customWidth="1"/>
    <col min="8" max="8" width="12.5703125" customWidth="1"/>
    <col min="9" max="9" width="13" customWidth="1"/>
    <col min="10" max="10" width="10.85546875" hidden="1" customWidth="1"/>
    <col min="11" max="11" width="13.42578125" customWidth="1"/>
    <col min="12" max="12" width="11.85546875" customWidth="1"/>
    <col min="13" max="13" width="12.85546875" customWidth="1"/>
    <col min="14" max="14" width="13" customWidth="1"/>
    <col min="15" max="15" width="14.7109375" customWidth="1"/>
    <col min="16" max="16" width="12.5703125" customWidth="1"/>
    <col min="17" max="17" width="11.85546875" customWidth="1"/>
    <col min="18" max="18" width="10.7109375" customWidth="1"/>
  </cols>
  <sheetData>
    <row r="1" spans="1:18" ht="24.75" customHeight="1">
      <c r="A1" s="244" t="s">
        <v>131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18" ht="20.25" customHeight="1">
      <c r="A2" s="245" t="s">
        <v>28</v>
      </c>
      <c r="B2" s="245" t="s">
        <v>4</v>
      </c>
      <c r="C2" s="245" t="s">
        <v>124</v>
      </c>
      <c r="D2" s="245" t="s">
        <v>24</v>
      </c>
      <c r="E2" s="245" t="s">
        <v>125</v>
      </c>
      <c r="F2" s="245" t="s">
        <v>99</v>
      </c>
      <c r="G2" s="245" t="s">
        <v>128</v>
      </c>
      <c r="H2" s="245" t="s">
        <v>123</v>
      </c>
      <c r="I2" s="245"/>
      <c r="J2" s="245"/>
      <c r="K2" s="245" t="s">
        <v>117</v>
      </c>
      <c r="L2" s="245"/>
      <c r="M2" s="245" t="s">
        <v>138</v>
      </c>
      <c r="N2" s="245" t="s">
        <v>139</v>
      </c>
      <c r="O2" s="245" t="s">
        <v>30</v>
      </c>
      <c r="P2" s="245" t="s">
        <v>9</v>
      </c>
      <c r="Q2" s="245"/>
      <c r="R2" s="245"/>
    </row>
    <row r="3" spans="1:18" ht="97.5" customHeight="1">
      <c r="A3" s="245"/>
      <c r="B3" s="245"/>
      <c r="C3" s="245"/>
      <c r="D3" s="245"/>
      <c r="E3" s="245"/>
      <c r="F3" s="245"/>
      <c r="G3" s="245"/>
      <c r="H3" s="209" t="s">
        <v>140</v>
      </c>
      <c r="I3" s="169" t="s">
        <v>10</v>
      </c>
      <c r="J3" s="169" t="s">
        <v>29</v>
      </c>
      <c r="K3" s="209" t="s">
        <v>140</v>
      </c>
      <c r="L3" s="169" t="s">
        <v>30</v>
      </c>
      <c r="M3" s="245"/>
      <c r="N3" s="245"/>
      <c r="O3" s="245"/>
      <c r="P3" s="121" t="s">
        <v>122</v>
      </c>
      <c r="Q3" s="121" t="s">
        <v>129</v>
      </c>
      <c r="R3" s="121" t="s">
        <v>132</v>
      </c>
    </row>
    <row r="4" spans="1:18" ht="18.75">
      <c r="A4" s="35" t="s">
        <v>21</v>
      </c>
      <c r="B4" s="36"/>
      <c r="C4" s="55">
        <f t="shared" ref="C4:H4" si="0">C5+C11+C16+C22+C23+C24</f>
        <v>76482.7</v>
      </c>
      <c r="D4" s="55">
        <f t="shared" si="0"/>
        <v>20272.599999999999</v>
      </c>
      <c r="E4" s="55">
        <f t="shared" si="0"/>
        <v>96755.3</v>
      </c>
      <c r="F4" s="55">
        <f t="shared" si="0"/>
        <v>28287.7</v>
      </c>
      <c r="G4" s="55">
        <f t="shared" si="0"/>
        <v>91585.500000000015</v>
      </c>
      <c r="H4" s="55">
        <f t="shared" si="0"/>
        <v>95661.2</v>
      </c>
      <c r="I4" s="56">
        <f>IF(E4&gt;0,H4/E4,0)</f>
        <v>0.9886920923194904</v>
      </c>
      <c r="J4" s="56">
        <f>IF(F4&gt;0,H4/F4,0)</f>
        <v>3.381724212290147</v>
      </c>
      <c r="K4" s="55">
        <f>K5+K11+K16+K22+K23+K24</f>
        <v>77354.399999999994</v>
      </c>
      <c r="L4" s="56">
        <f t="shared" ref="L4:L54" si="1">IF(K4&gt;0,H4/K4,0)</f>
        <v>1.236661392241424</v>
      </c>
      <c r="M4" s="55">
        <f>M5+M11+M16+M22+M23+M24</f>
        <v>4075.7</v>
      </c>
      <c r="N4" s="55">
        <f>N5+N11+N16+N22+N23+N24</f>
        <v>4657.1000000000004</v>
      </c>
      <c r="O4" s="56">
        <f t="shared" ref="O4:O54" si="2">IF(N4&gt;0,M4/N4,0)</f>
        <v>0.87515836035300931</v>
      </c>
      <c r="P4" s="55">
        <f>P5+P11+P16+P22+P23+P24</f>
        <v>3350.7</v>
      </c>
      <c r="Q4" s="55">
        <f>Q5+Q11+Q16+Q22+Q23+Q24</f>
        <v>2498.9999999999991</v>
      </c>
      <c r="R4" s="55">
        <f>R5+R11+R16+R22+R23+R24</f>
        <v>2322.1</v>
      </c>
    </row>
    <row r="5" spans="1:18" ht="18.75">
      <c r="A5" s="37" t="s">
        <v>63</v>
      </c>
      <c r="B5" s="38">
        <v>1010200001</v>
      </c>
      <c r="C5" s="57">
        <f>SUM(C6:C10)</f>
        <v>20026.899999999998</v>
      </c>
      <c r="D5" s="57">
        <f>SUM(D6:D10)</f>
        <v>3479.1000000000004</v>
      </c>
      <c r="E5" s="57">
        <f>SUM(E6:E10)</f>
        <v>23506</v>
      </c>
      <c r="F5" s="57">
        <f t="shared" ref="F5" si="3">SUM(F6:F8)</f>
        <v>9897.8000000000011</v>
      </c>
      <c r="G5" s="57">
        <f>SUM(G6:G10)</f>
        <v>19825.099999999999</v>
      </c>
      <c r="H5" s="57">
        <f>SUM(H6:H10)</f>
        <v>23132.399999999998</v>
      </c>
      <c r="I5" s="58">
        <f>IF(E5&gt;0,H5/E5,0)</f>
        <v>0.98410618565472641</v>
      </c>
      <c r="J5" s="58">
        <f>IF(F5&gt;0,H5/F5,0)</f>
        <v>2.337125421810907</v>
      </c>
      <c r="K5" s="57">
        <f>SUM(K6:K10)</f>
        <v>19434.599999999999</v>
      </c>
      <c r="L5" s="58">
        <f t="shared" si="1"/>
        <v>1.1902689018554538</v>
      </c>
      <c r="M5" s="57">
        <f>SUM(M6:M10)</f>
        <v>3307.3</v>
      </c>
      <c r="N5" s="57">
        <f>SUM(N6:N10)</f>
        <v>2907.1</v>
      </c>
      <c r="O5" s="58">
        <f t="shared" si="2"/>
        <v>1.137662963090365</v>
      </c>
      <c r="P5" s="57">
        <f>SUM(P6:P10)</f>
        <v>415.6</v>
      </c>
      <c r="Q5" s="57">
        <f t="shared" ref="Q5:R5" si="4">SUM(Q6:Q10)</f>
        <v>387.79999999999995</v>
      </c>
      <c r="R5" s="57">
        <f t="shared" si="4"/>
        <v>394.79999999999995</v>
      </c>
    </row>
    <row r="6" spans="1:18" ht="18.75" customHeight="1">
      <c r="A6" s="40" t="s">
        <v>40</v>
      </c>
      <c r="B6" s="8">
        <v>1010201001</v>
      </c>
      <c r="C6" s="170">
        <v>19648.599999999999</v>
      </c>
      <c r="D6" s="60">
        <f>2263+1327.9-190.5</f>
        <v>3400.4</v>
      </c>
      <c r="E6" s="60">
        <f>C6+D6</f>
        <v>23049</v>
      </c>
      <c r="F6" s="60">
        <f>2700+346+3300+3328.7+150</f>
        <v>9824.7000000000007</v>
      </c>
      <c r="G6" s="60">
        <v>19378.099999999999</v>
      </c>
      <c r="H6" s="60">
        <f>G6+M6</f>
        <v>22633.399999999998</v>
      </c>
      <c r="I6" s="61">
        <f t="shared" ref="I6:I54" si="5">IF(E6&gt;0,H6/E6,0)</f>
        <v>0.981968848973925</v>
      </c>
      <c r="J6" s="61">
        <f t="shared" ref="J6:J54" si="6">IF(F6&gt;0,H6/F6,0)</f>
        <v>2.3037242867466685</v>
      </c>
      <c r="K6" s="60">
        <v>19007.400000000001</v>
      </c>
      <c r="L6" s="61">
        <f t="shared" si="1"/>
        <v>1.1907678062228393</v>
      </c>
      <c r="M6" s="60">
        <v>3255.3</v>
      </c>
      <c r="N6" s="60">
        <v>2903</v>
      </c>
      <c r="O6" s="61">
        <f t="shared" si="2"/>
        <v>1.121357216672408</v>
      </c>
      <c r="P6" s="60">
        <v>276.10000000000002</v>
      </c>
      <c r="Q6" s="60">
        <v>218.2</v>
      </c>
      <c r="R6" s="60">
        <v>246.1</v>
      </c>
    </row>
    <row r="7" spans="1:18" ht="21" customHeight="1">
      <c r="A7" s="40" t="s">
        <v>41</v>
      </c>
      <c r="B7" s="8">
        <v>1010202001</v>
      </c>
      <c r="C7" s="170">
        <v>114</v>
      </c>
      <c r="D7" s="60">
        <v>34</v>
      </c>
      <c r="E7" s="60">
        <f t="shared" ref="E7:E24" si="7">C7+D7</f>
        <v>148</v>
      </c>
      <c r="F7" s="60">
        <f>26.1</f>
        <v>26.1</v>
      </c>
      <c r="G7" s="60">
        <v>148</v>
      </c>
      <c r="H7" s="60">
        <f>G7+M7</f>
        <v>148</v>
      </c>
      <c r="I7" s="61">
        <f t="shared" si="5"/>
        <v>1</v>
      </c>
      <c r="J7" s="61">
        <f t="shared" si="6"/>
        <v>5.6704980842911876</v>
      </c>
      <c r="K7" s="60">
        <v>148.6</v>
      </c>
      <c r="L7" s="61">
        <f t="shared" si="1"/>
        <v>0.99596231493943477</v>
      </c>
      <c r="M7" s="60"/>
      <c r="N7" s="60"/>
      <c r="O7" s="61">
        <f t="shared" si="2"/>
        <v>0</v>
      </c>
      <c r="P7" s="60"/>
      <c r="Q7" s="60"/>
      <c r="R7" s="60"/>
    </row>
    <row r="8" spans="1:18" ht="21" customHeight="1">
      <c r="A8" s="40" t="s">
        <v>42</v>
      </c>
      <c r="B8" s="8">
        <v>1010203001</v>
      </c>
      <c r="C8" s="170">
        <v>264.3</v>
      </c>
      <c r="D8" s="60">
        <v>-52.2</v>
      </c>
      <c r="E8" s="60">
        <f t="shared" si="7"/>
        <v>212.10000000000002</v>
      </c>
      <c r="F8" s="60">
        <f>2+45</f>
        <v>47</v>
      </c>
      <c r="G8" s="60">
        <v>202.1</v>
      </c>
      <c r="H8" s="60">
        <f>G8+M8</f>
        <v>239.2</v>
      </c>
      <c r="I8" s="61">
        <f t="shared" si="5"/>
        <v>1.1277699198491276</v>
      </c>
      <c r="J8" s="61">
        <f t="shared" si="6"/>
        <v>5.0893617021276594</v>
      </c>
      <c r="K8" s="60">
        <v>273.5</v>
      </c>
      <c r="L8" s="61">
        <f t="shared" si="1"/>
        <v>0.8745886654478976</v>
      </c>
      <c r="M8" s="60">
        <v>37.1</v>
      </c>
      <c r="N8" s="60">
        <v>2.5</v>
      </c>
      <c r="O8" s="61">
        <f t="shared" si="2"/>
        <v>14.84</v>
      </c>
      <c r="P8" s="60">
        <v>128.19999999999999</v>
      </c>
      <c r="Q8" s="60">
        <v>169.6</v>
      </c>
      <c r="R8" s="60">
        <v>148.69999999999999</v>
      </c>
    </row>
    <row r="9" spans="1:18" ht="21" customHeight="1">
      <c r="A9" s="40" t="s">
        <v>118</v>
      </c>
      <c r="B9" s="8">
        <v>1010208001</v>
      </c>
      <c r="C9" s="59"/>
      <c r="D9" s="60"/>
      <c r="E9" s="60">
        <f t="shared" si="7"/>
        <v>0</v>
      </c>
      <c r="F9" s="60"/>
      <c r="G9" s="60"/>
      <c r="H9" s="60">
        <f>G9+M9</f>
        <v>0</v>
      </c>
      <c r="I9" s="61">
        <f t="shared" ref="I9" si="8">IF(E9&gt;0,H9/E9,0)</f>
        <v>0</v>
      </c>
      <c r="J9" s="61"/>
      <c r="K9" s="60">
        <v>3.3</v>
      </c>
      <c r="L9" s="61">
        <f t="shared" si="1"/>
        <v>0</v>
      </c>
      <c r="M9" s="60"/>
      <c r="N9" s="60"/>
      <c r="O9" s="61">
        <f t="shared" si="2"/>
        <v>0</v>
      </c>
      <c r="P9" s="60"/>
      <c r="Q9" s="60"/>
      <c r="R9" s="60"/>
    </row>
    <row r="10" spans="1:18" ht="30.75" customHeight="1">
      <c r="A10" s="40" t="s">
        <v>121</v>
      </c>
      <c r="B10" s="8">
        <v>1010213001</v>
      </c>
      <c r="C10" s="59"/>
      <c r="D10" s="60">
        <v>96.9</v>
      </c>
      <c r="E10" s="60">
        <f t="shared" si="7"/>
        <v>96.9</v>
      </c>
      <c r="F10" s="60"/>
      <c r="G10" s="60">
        <v>96.9</v>
      </c>
      <c r="H10" s="60">
        <f>G10+M10</f>
        <v>111.80000000000001</v>
      </c>
      <c r="I10" s="61">
        <f t="shared" ref="I10" si="9">IF(E10&gt;0,H10/E10,0)</f>
        <v>1.1537667698658411</v>
      </c>
      <c r="J10" s="61"/>
      <c r="K10" s="60">
        <v>1.8</v>
      </c>
      <c r="L10" s="61">
        <f t="shared" si="1"/>
        <v>62.111111111111114</v>
      </c>
      <c r="M10" s="60">
        <v>14.9</v>
      </c>
      <c r="N10" s="60">
        <v>1.6</v>
      </c>
      <c r="O10" s="61">
        <f t="shared" si="2"/>
        <v>9.3125</v>
      </c>
      <c r="P10" s="60">
        <v>11.3</v>
      </c>
      <c r="Q10" s="60">
        <v>0</v>
      </c>
      <c r="R10" s="60"/>
    </row>
    <row r="11" spans="1:18" ht="18" customHeight="1">
      <c r="A11" s="37" t="s">
        <v>48</v>
      </c>
      <c r="B11" s="39">
        <v>1030200001</v>
      </c>
      <c r="C11" s="57">
        <f t="shared" ref="C11:H11" si="10">SUM(C12:C15)</f>
        <v>10528.3</v>
      </c>
      <c r="D11" s="57">
        <f t="shared" si="10"/>
        <v>753.09999999999991</v>
      </c>
      <c r="E11" s="57">
        <f t="shared" si="10"/>
        <v>11281.400000000001</v>
      </c>
      <c r="F11" s="57">
        <f>925+200+490+1350+1800</f>
        <v>4765</v>
      </c>
      <c r="G11" s="57">
        <f>SUM(G12:G15)</f>
        <v>10341.5</v>
      </c>
      <c r="H11" s="57">
        <f t="shared" si="10"/>
        <v>11293.4</v>
      </c>
      <c r="I11" s="58">
        <f t="shared" si="5"/>
        <v>1.0010636977680074</v>
      </c>
      <c r="J11" s="58">
        <f t="shared" si="6"/>
        <v>2.3700734522560336</v>
      </c>
      <c r="K11" s="57">
        <f>SUM(K12:K15)</f>
        <v>10652.300000000001</v>
      </c>
      <c r="L11" s="58">
        <f t="shared" si="1"/>
        <v>1.0601841855749461</v>
      </c>
      <c r="M11" s="57">
        <f>SUM(M12:M15)</f>
        <v>951.9</v>
      </c>
      <c r="N11" s="57">
        <f>SUM(N12:N15)</f>
        <v>1032</v>
      </c>
      <c r="O11" s="58">
        <f t="shared" si="2"/>
        <v>0.92238372093023258</v>
      </c>
      <c r="P11" s="57">
        <f>SUM(P12:P15)</f>
        <v>0</v>
      </c>
      <c r="Q11" s="57">
        <f>SUM(Q12:Q15)</f>
        <v>0</v>
      </c>
      <c r="R11" s="57">
        <f>SUM(R12:R15)</f>
        <v>0</v>
      </c>
    </row>
    <row r="12" spans="1:18" ht="18.75">
      <c r="A12" s="41" t="s">
        <v>49</v>
      </c>
      <c r="B12" s="41">
        <v>1030223101</v>
      </c>
      <c r="C12" s="170">
        <v>5490.9</v>
      </c>
      <c r="D12" s="60">
        <v>336</v>
      </c>
      <c r="E12" s="60">
        <f t="shared" si="7"/>
        <v>5826.9</v>
      </c>
      <c r="F12" s="60"/>
      <c r="G12" s="60">
        <v>5358.5</v>
      </c>
      <c r="H12" s="60">
        <f>G12+M12</f>
        <v>5834.5</v>
      </c>
      <c r="I12" s="61">
        <f t="shared" si="5"/>
        <v>1.0013042955945701</v>
      </c>
      <c r="J12" s="61">
        <f t="shared" si="6"/>
        <v>0</v>
      </c>
      <c r="K12" s="60">
        <v>5519.5</v>
      </c>
      <c r="L12" s="61">
        <f t="shared" si="1"/>
        <v>1.0570703868103994</v>
      </c>
      <c r="M12" s="60">
        <v>476</v>
      </c>
      <c r="N12" s="60">
        <v>556.79999999999995</v>
      </c>
      <c r="O12" s="61">
        <f t="shared" si="2"/>
        <v>0.85488505747126442</v>
      </c>
      <c r="P12" s="60"/>
      <c r="Q12" s="60"/>
      <c r="R12" s="60"/>
    </row>
    <row r="13" spans="1:18" ht="18.75">
      <c r="A13" s="41" t="s">
        <v>50</v>
      </c>
      <c r="B13" s="41">
        <v>1030224101</v>
      </c>
      <c r="C13" s="170">
        <v>26.2</v>
      </c>
      <c r="D13" s="60">
        <v>7.9</v>
      </c>
      <c r="E13" s="60">
        <f t="shared" si="7"/>
        <v>34.1</v>
      </c>
      <c r="F13" s="60"/>
      <c r="G13" s="60">
        <v>31</v>
      </c>
      <c r="H13" s="60">
        <f>G13+M13</f>
        <v>33.700000000000003</v>
      </c>
      <c r="I13" s="61">
        <f t="shared" si="5"/>
        <v>0.98826979472140764</v>
      </c>
      <c r="J13" s="61">
        <f t="shared" si="6"/>
        <v>0</v>
      </c>
      <c r="K13" s="60">
        <v>28.8</v>
      </c>
      <c r="L13" s="61">
        <f t="shared" si="1"/>
        <v>1.1701388888888891</v>
      </c>
      <c r="M13" s="60">
        <v>2.7</v>
      </c>
      <c r="N13" s="60">
        <v>2.2999999999999998</v>
      </c>
      <c r="O13" s="61">
        <f t="shared" si="2"/>
        <v>1.173913043478261</v>
      </c>
      <c r="P13" s="60"/>
      <c r="Q13" s="60"/>
      <c r="R13" s="60"/>
    </row>
    <row r="14" spans="1:18" ht="18.75" customHeight="1">
      <c r="A14" s="41" t="s">
        <v>51</v>
      </c>
      <c r="B14" s="41">
        <v>1030225101</v>
      </c>
      <c r="C14" s="170">
        <v>5693.5</v>
      </c>
      <c r="D14" s="60">
        <v>374.2</v>
      </c>
      <c r="E14" s="60">
        <f t="shared" si="7"/>
        <v>6067.7</v>
      </c>
      <c r="F14" s="60"/>
      <c r="G14" s="60">
        <v>5545.5</v>
      </c>
      <c r="H14" s="60">
        <f>G14+M14</f>
        <v>6060.3</v>
      </c>
      <c r="I14" s="61">
        <f t="shared" si="5"/>
        <v>0.99878042750960006</v>
      </c>
      <c r="J14" s="61">
        <f t="shared" si="6"/>
        <v>0</v>
      </c>
      <c r="K14" s="60">
        <v>5704.9</v>
      </c>
      <c r="L14" s="61">
        <f t="shared" si="1"/>
        <v>1.0622973233536084</v>
      </c>
      <c r="M14" s="60">
        <v>514.79999999999995</v>
      </c>
      <c r="N14" s="60">
        <v>522.4</v>
      </c>
      <c r="O14" s="61">
        <f t="shared" si="2"/>
        <v>0.98545176110260335</v>
      </c>
      <c r="P14" s="60"/>
      <c r="Q14" s="60"/>
      <c r="R14" s="60"/>
    </row>
    <row r="15" spans="1:18" ht="18.75" customHeight="1">
      <c r="A15" s="41" t="s">
        <v>52</v>
      </c>
      <c r="B15" s="41">
        <v>1030226101</v>
      </c>
      <c r="C15" s="170">
        <v>-682.3</v>
      </c>
      <c r="D15" s="60">
        <v>35</v>
      </c>
      <c r="E15" s="60">
        <f t="shared" si="7"/>
        <v>-647.29999999999995</v>
      </c>
      <c r="F15" s="60"/>
      <c r="G15" s="60">
        <v>-593.5</v>
      </c>
      <c r="H15" s="60">
        <f>G15+M15</f>
        <v>-635.1</v>
      </c>
      <c r="I15" s="61">
        <f>H15/E15</f>
        <v>0.981152479530357</v>
      </c>
      <c r="J15" s="61">
        <f t="shared" si="6"/>
        <v>0</v>
      </c>
      <c r="K15" s="60">
        <v>-600.9</v>
      </c>
      <c r="L15" s="61">
        <f t="shared" si="1"/>
        <v>0</v>
      </c>
      <c r="M15" s="60">
        <v>-41.6</v>
      </c>
      <c r="N15" s="60">
        <v>-49.5</v>
      </c>
      <c r="O15" s="61">
        <f t="shared" si="2"/>
        <v>0</v>
      </c>
      <c r="P15" s="60"/>
      <c r="Q15" s="60"/>
      <c r="R15" s="60"/>
    </row>
    <row r="16" spans="1:18" ht="18.75">
      <c r="A16" s="37" t="s">
        <v>55</v>
      </c>
      <c r="B16" s="38">
        <v>1050000000</v>
      </c>
      <c r="C16" s="57">
        <f t="shared" ref="C16:H16" si="11">SUM(C17:C21)</f>
        <v>36977.5</v>
      </c>
      <c r="D16" s="57">
        <f t="shared" si="11"/>
        <v>13339.9</v>
      </c>
      <c r="E16" s="57">
        <f t="shared" si="11"/>
        <v>50317.4</v>
      </c>
      <c r="F16" s="57">
        <f t="shared" si="11"/>
        <v>11352.9</v>
      </c>
      <c r="G16" s="57">
        <f>G17+G18+G19+G20+G21</f>
        <v>50015.5</v>
      </c>
      <c r="H16" s="57">
        <f t="shared" si="11"/>
        <v>49597.9</v>
      </c>
      <c r="I16" s="58">
        <f t="shared" si="5"/>
        <v>0.98570077150250213</v>
      </c>
      <c r="J16" s="58">
        <f t="shared" si="6"/>
        <v>4.368742788186279</v>
      </c>
      <c r="K16" s="57">
        <f>K17+K18+K19+K20+K21</f>
        <v>38280.100000000006</v>
      </c>
      <c r="L16" s="58">
        <f t="shared" si="1"/>
        <v>1.2956575348549244</v>
      </c>
      <c r="M16" s="57">
        <f>M17+M18+M19+M20+M21</f>
        <v>-417.6</v>
      </c>
      <c r="N16" s="57">
        <f>N17+N18+N19+N20+N21</f>
        <v>610.6</v>
      </c>
      <c r="O16" s="58">
        <f t="shared" si="2"/>
        <v>-0.68391745823779893</v>
      </c>
      <c r="P16" s="57">
        <f>SUM(P17:P21)</f>
        <v>2819.1</v>
      </c>
      <c r="Q16" s="57">
        <f>SUM(Q17:Q21)</f>
        <v>2111.1999999999994</v>
      </c>
      <c r="R16" s="57">
        <f>SUM(R17:R21)</f>
        <v>1927.3</v>
      </c>
    </row>
    <row r="17" spans="1:18" ht="18.75">
      <c r="A17" s="40" t="s">
        <v>53</v>
      </c>
      <c r="B17" s="8">
        <v>1050101001</v>
      </c>
      <c r="C17" s="170">
        <v>25500</v>
      </c>
      <c r="D17" s="60">
        <v>13641.8</v>
      </c>
      <c r="E17" s="60">
        <f t="shared" si="7"/>
        <v>39141.800000000003</v>
      </c>
      <c r="F17" s="60">
        <f>1100+1131+3100+350+1370</f>
        <v>7051</v>
      </c>
      <c r="G17" s="60">
        <v>39096.800000000003</v>
      </c>
      <c r="H17" s="60">
        <f t="shared" ref="H17:H24" si="12">G17+M17</f>
        <v>39231.300000000003</v>
      </c>
      <c r="I17" s="61">
        <f t="shared" si="5"/>
        <v>1.002286558104124</v>
      </c>
      <c r="J17" s="61">
        <f t="shared" si="6"/>
        <v>5.5639341937313862</v>
      </c>
      <c r="K17" s="60">
        <v>26501.9</v>
      </c>
      <c r="L17" s="61">
        <f t="shared" si="1"/>
        <v>1.480320278923398</v>
      </c>
      <c r="M17" s="60">
        <v>134.5</v>
      </c>
      <c r="N17" s="60">
        <v>437.3</v>
      </c>
      <c r="O17" s="61">
        <f t="shared" si="2"/>
        <v>0.30756917447976218</v>
      </c>
      <c r="P17" s="60">
        <v>2169</v>
      </c>
      <c r="Q17" s="60">
        <v>1602.8</v>
      </c>
      <c r="R17" s="60">
        <v>1582.8</v>
      </c>
    </row>
    <row r="18" spans="1:18" ht="18.75">
      <c r="A18" s="40" t="s">
        <v>54</v>
      </c>
      <c r="B18" s="8">
        <v>1050102001</v>
      </c>
      <c r="C18" s="170">
        <v>10200</v>
      </c>
      <c r="D18" s="60">
        <v>-1334.4</v>
      </c>
      <c r="E18" s="60">
        <f t="shared" si="7"/>
        <v>8865.6</v>
      </c>
      <c r="F18" s="60">
        <f>100+159+500+350+400</f>
        <v>1509</v>
      </c>
      <c r="G18" s="60">
        <v>8712.7000000000007</v>
      </c>
      <c r="H18" s="60">
        <f t="shared" si="12"/>
        <v>7994.5000000000009</v>
      </c>
      <c r="I18" s="61">
        <f t="shared" si="5"/>
        <v>0.90174381880526988</v>
      </c>
      <c r="J18" s="61">
        <f t="shared" si="6"/>
        <v>5.2978793903247192</v>
      </c>
      <c r="K18" s="60">
        <v>10957.4</v>
      </c>
      <c r="L18" s="61">
        <f t="shared" si="1"/>
        <v>0.72959826236150926</v>
      </c>
      <c r="M18" s="60">
        <v>-718.2</v>
      </c>
      <c r="N18" s="60">
        <v>32.1</v>
      </c>
      <c r="O18" s="61">
        <f t="shared" si="2"/>
        <v>-22.373831775700936</v>
      </c>
      <c r="P18" s="60">
        <v>640.79999999999995</v>
      </c>
      <c r="Q18" s="60">
        <v>472.9</v>
      </c>
      <c r="R18" s="60">
        <v>310</v>
      </c>
    </row>
    <row r="19" spans="1:18" ht="18.75">
      <c r="A19" s="40" t="s">
        <v>0</v>
      </c>
      <c r="B19" s="8">
        <v>1050200002</v>
      </c>
      <c r="C19" s="170"/>
      <c r="D19" s="60"/>
      <c r="E19" s="60">
        <f t="shared" si="7"/>
        <v>0</v>
      </c>
      <c r="F19" s="60">
        <f>1000+126+65+1480-30</f>
        <v>2641</v>
      </c>
      <c r="G19" s="60"/>
      <c r="H19" s="60">
        <f t="shared" si="12"/>
        <v>0</v>
      </c>
      <c r="I19" s="61">
        <f t="shared" si="5"/>
        <v>0</v>
      </c>
      <c r="J19" s="61">
        <f t="shared" si="6"/>
        <v>0</v>
      </c>
      <c r="K19" s="60">
        <v>-4</v>
      </c>
      <c r="L19" s="61">
        <f t="shared" si="1"/>
        <v>0</v>
      </c>
      <c r="M19" s="60"/>
      <c r="N19" s="60"/>
      <c r="O19" s="61">
        <f t="shared" si="2"/>
        <v>0</v>
      </c>
      <c r="P19" s="60">
        <v>2.6</v>
      </c>
      <c r="Q19" s="60">
        <v>2.6</v>
      </c>
      <c r="R19" s="60">
        <v>2.6</v>
      </c>
    </row>
    <row r="20" spans="1:18" ht="18.75">
      <c r="A20" s="40" t="s">
        <v>7</v>
      </c>
      <c r="B20" s="8">
        <v>1050300001</v>
      </c>
      <c r="C20" s="170">
        <v>27.5</v>
      </c>
      <c r="D20" s="60">
        <v>-17.5</v>
      </c>
      <c r="E20" s="60">
        <f t="shared" si="7"/>
        <v>10</v>
      </c>
      <c r="F20" s="60">
        <f>5.4+5.6+52</f>
        <v>63</v>
      </c>
      <c r="G20" s="60">
        <v>10</v>
      </c>
      <c r="H20" s="60">
        <f t="shared" si="12"/>
        <v>10.199999999999999</v>
      </c>
      <c r="I20" s="61">
        <f t="shared" si="5"/>
        <v>1.02</v>
      </c>
      <c r="J20" s="61">
        <f t="shared" si="6"/>
        <v>0.16190476190476188</v>
      </c>
      <c r="K20" s="60">
        <v>-148.19999999999999</v>
      </c>
      <c r="L20" s="61">
        <f t="shared" si="1"/>
        <v>0</v>
      </c>
      <c r="M20" s="60">
        <v>0.2</v>
      </c>
      <c r="N20" s="60"/>
      <c r="O20" s="61">
        <f t="shared" si="2"/>
        <v>0</v>
      </c>
      <c r="P20" s="60"/>
      <c r="Q20" s="60">
        <v>0.2</v>
      </c>
      <c r="R20" s="60"/>
    </row>
    <row r="21" spans="1:18" ht="18.75">
      <c r="A21" s="40" t="s">
        <v>96</v>
      </c>
      <c r="B21" s="8">
        <v>1050402002</v>
      </c>
      <c r="C21" s="170">
        <v>1250</v>
      </c>
      <c r="D21" s="60">
        <v>1050</v>
      </c>
      <c r="E21" s="60">
        <f t="shared" si="7"/>
        <v>2300</v>
      </c>
      <c r="F21" s="60">
        <f>50+15+2.9+21</f>
        <v>88.9</v>
      </c>
      <c r="G21" s="60">
        <v>2196</v>
      </c>
      <c r="H21" s="60">
        <f t="shared" si="12"/>
        <v>2361.9</v>
      </c>
      <c r="I21" s="61">
        <f t="shared" si="5"/>
        <v>1.026913043478261</v>
      </c>
      <c r="J21" s="61">
        <f t="shared" si="6"/>
        <v>26.568053993250842</v>
      </c>
      <c r="K21" s="60">
        <v>973</v>
      </c>
      <c r="L21" s="61">
        <f t="shared" si="1"/>
        <v>2.4274409044193219</v>
      </c>
      <c r="M21" s="60">
        <v>165.9</v>
      </c>
      <c r="N21" s="60">
        <v>141.19999999999999</v>
      </c>
      <c r="O21" s="61">
        <f t="shared" si="2"/>
        <v>1.1749291784702551</v>
      </c>
      <c r="P21" s="60">
        <v>6.7</v>
      </c>
      <c r="Q21" s="60">
        <v>32.700000000000003</v>
      </c>
      <c r="R21" s="60">
        <v>31.9</v>
      </c>
    </row>
    <row r="22" spans="1:18" ht="16.5" customHeight="1">
      <c r="A22" s="37" t="s">
        <v>57</v>
      </c>
      <c r="B22" s="38">
        <v>1060201002</v>
      </c>
      <c r="C22" s="57">
        <v>7800</v>
      </c>
      <c r="D22" s="62">
        <v>2070.5</v>
      </c>
      <c r="E22" s="62">
        <f t="shared" si="7"/>
        <v>9870.5</v>
      </c>
      <c r="F22" s="62">
        <f>300+93+770+670+150</f>
        <v>1983</v>
      </c>
      <c r="G22" s="62">
        <v>9946.1</v>
      </c>
      <c r="H22" s="62">
        <f t="shared" si="12"/>
        <v>9801.6</v>
      </c>
      <c r="I22" s="58">
        <f t="shared" si="5"/>
        <v>0.99301960387011812</v>
      </c>
      <c r="J22" s="58">
        <f t="shared" si="6"/>
        <v>4.9428139183055979</v>
      </c>
      <c r="K22" s="62">
        <v>7996</v>
      </c>
      <c r="L22" s="58">
        <f t="shared" si="1"/>
        <v>1.2258129064532266</v>
      </c>
      <c r="M22" s="62">
        <v>-144.5</v>
      </c>
      <c r="N22" s="62">
        <v>46.3</v>
      </c>
      <c r="O22" s="58">
        <f t="shared" si="2"/>
        <v>-3.1209503239740823</v>
      </c>
      <c r="P22" s="62">
        <v>116</v>
      </c>
      <c r="Q22" s="62"/>
      <c r="R22" s="62"/>
    </row>
    <row r="23" spans="1:18" ht="18" customHeight="1">
      <c r="A23" s="37" t="s">
        <v>64</v>
      </c>
      <c r="B23" s="38">
        <v>1080000000</v>
      </c>
      <c r="C23" s="57">
        <v>1150</v>
      </c>
      <c r="D23" s="62">
        <v>630</v>
      </c>
      <c r="E23" s="62">
        <f t="shared" si="7"/>
        <v>1780</v>
      </c>
      <c r="F23" s="62">
        <f>75+34+90+90</f>
        <v>289</v>
      </c>
      <c r="G23" s="62">
        <v>1457.3</v>
      </c>
      <c r="H23" s="62">
        <f t="shared" si="12"/>
        <v>1835.9</v>
      </c>
      <c r="I23" s="58">
        <f t="shared" si="5"/>
        <v>1.0314044943820224</v>
      </c>
      <c r="J23" s="58">
        <f t="shared" si="6"/>
        <v>6.3525951557093432</v>
      </c>
      <c r="K23" s="62">
        <v>991.4</v>
      </c>
      <c r="L23" s="58">
        <f t="shared" si="1"/>
        <v>1.8518257010288481</v>
      </c>
      <c r="M23" s="62">
        <v>378.6</v>
      </c>
      <c r="N23" s="62">
        <v>61.1</v>
      </c>
      <c r="O23" s="58">
        <f t="shared" si="2"/>
        <v>6.1963993453355162</v>
      </c>
      <c r="P23" s="62"/>
      <c r="Q23" s="62"/>
      <c r="R23" s="62"/>
    </row>
    <row r="24" spans="1:18" ht="17.25" customHeight="1">
      <c r="A24" s="37" t="s">
        <v>56</v>
      </c>
      <c r="B24" s="38">
        <v>1090000000</v>
      </c>
      <c r="C24" s="57"/>
      <c r="D24" s="62"/>
      <c r="E24" s="62">
        <f t="shared" si="7"/>
        <v>0</v>
      </c>
      <c r="F24" s="62"/>
      <c r="G24" s="62"/>
      <c r="H24" s="62">
        <f t="shared" si="12"/>
        <v>0</v>
      </c>
      <c r="I24" s="58">
        <f t="shared" si="5"/>
        <v>0</v>
      </c>
      <c r="J24" s="58">
        <f t="shared" si="6"/>
        <v>0</v>
      </c>
      <c r="K24" s="62"/>
      <c r="L24" s="58">
        <f t="shared" si="1"/>
        <v>0</v>
      </c>
      <c r="M24" s="62"/>
      <c r="N24" s="62"/>
      <c r="O24" s="58">
        <f t="shared" si="2"/>
        <v>0</v>
      </c>
      <c r="P24" s="62"/>
      <c r="Q24" s="62"/>
      <c r="R24" s="62"/>
    </row>
    <row r="25" spans="1:18" ht="18.75">
      <c r="A25" s="42" t="s">
        <v>22</v>
      </c>
      <c r="B25" s="43"/>
      <c r="C25" s="55">
        <f t="shared" ref="C25:H25" si="13">C26+C33+C34+C38+C42+C43</f>
        <v>27948.799999999999</v>
      </c>
      <c r="D25" s="55">
        <f t="shared" si="13"/>
        <v>450.66400000000118</v>
      </c>
      <c r="E25" s="55">
        <f t="shared" si="13"/>
        <v>28399.464000000004</v>
      </c>
      <c r="F25" s="55">
        <f t="shared" si="13"/>
        <v>7948.7</v>
      </c>
      <c r="G25" s="130">
        <f>G26+G33+G34+G38+G42+G43</f>
        <v>24609.7</v>
      </c>
      <c r="H25" s="55">
        <f t="shared" si="13"/>
        <v>28687.600000000002</v>
      </c>
      <c r="I25" s="56">
        <f t="shared" si="5"/>
        <v>1.0101458252874067</v>
      </c>
      <c r="J25" s="56">
        <f t="shared" si="6"/>
        <v>3.6090933108558634</v>
      </c>
      <c r="K25" s="130">
        <f>K26+K33+K34+K38+K42+K43</f>
        <v>18514.899999999998</v>
      </c>
      <c r="L25" s="56">
        <f t="shared" si="1"/>
        <v>1.5494331592393156</v>
      </c>
      <c r="M25" s="130">
        <f>M26+M33+M34+M38+M42+M43</f>
        <v>4077.9000000000005</v>
      </c>
      <c r="N25" s="130">
        <f>N26+N33+N34+N38+N42+N43</f>
        <v>1600.8000000000002</v>
      </c>
      <c r="O25" s="56">
        <f t="shared" si="2"/>
        <v>2.5474137931034484</v>
      </c>
      <c r="P25" s="55">
        <f>P26+P33+P34+P38+P42+P43</f>
        <v>1009.4</v>
      </c>
      <c r="Q25" s="55">
        <f>Q26+Q33+Q34+Q38+Q42+Q43</f>
        <v>229.3</v>
      </c>
      <c r="R25" s="55">
        <f>R26+R33+R34+R38+R42+R43</f>
        <v>366.6</v>
      </c>
    </row>
    <row r="26" spans="1:18" ht="18.75">
      <c r="A26" s="44" t="s">
        <v>61</v>
      </c>
      <c r="B26" s="38">
        <v>1110000000</v>
      </c>
      <c r="C26" s="57">
        <f t="shared" ref="C26:H26" si="14">SUM(C27:C32)</f>
        <v>17453.5</v>
      </c>
      <c r="D26" s="239">
        <f t="shared" si="14"/>
        <v>-4197.8</v>
      </c>
      <c r="E26" s="57">
        <f t="shared" si="14"/>
        <v>13255.7</v>
      </c>
      <c r="F26" s="57">
        <f t="shared" si="14"/>
        <v>2087.3000000000002</v>
      </c>
      <c r="G26" s="131">
        <f>SUM(G27:G32)</f>
        <v>10387.299999999999</v>
      </c>
      <c r="H26" s="57">
        <f t="shared" si="14"/>
        <v>13317.3</v>
      </c>
      <c r="I26" s="58">
        <f t="shared" si="5"/>
        <v>1.0046470574922486</v>
      </c>
      <c r="J26" s="58">
        <f t="shared" si="6"/>
        <v>6.3801561826282747</v>
      </c>
      <c r="K26" s="131">
        <f>SUM(K27:K32)</f>
        <v>3256.1</v>
      </c>
      <c r="L26" s="58">
        <f t="shared" si="1"/>
        <v>4.0899542397346513</v>
      </c>
      <c r="M26" s="131">
        <f>SUM(M27:M32)</f>
        <v>2930.0000000000005</v>
      </c>
      <c r="N26" s="131">
        <f>SUM(N27:N32)</f>
        <v>398.70000000000005</v>
      </c>
      <c r="O26" s="58">
        <f t="shared" si="2"/>
        <v>7.3488838725859047</v>
      </c>
      <c r="P26" s="57">
        <f>SUM(P27:P32)</f>
        <v>1009.4</v>
      </c>
      <c r="Q26" s="57">
        <f>SUM(Q27:Q32)</f>
        <v>229.3</v>
      </c>
      <c r="R26" s="57">
        <f>SUM(R27:R32)</f>
        <v>366.6</v>
      </c>
    </row>
    <row r="27" spans="1:18" ht="18.75" hidden="1">
      <c r="A27" s="8" t="s">
        <v>20</v>
      </c>
      <c r="B27" s="8">
        <v>1110105005</v>
      </c>
      <c r="C27" s="59"/>
      <c r="D27" s="161"/>
      <c r="E27" s="60">
        <f t="shared" ref="E27:E33" si="15">C27+D27</f>
        <v>0</v>
      </c>
      <c r="F27" s="60"/>
      <c r="G27" s="132"/>
      <c r="H27" s="60">
        <f t="shared" ref="H27:H33" si="16">G27+M27</f>
        <v>0</v>
      </c>
      <c r="I27" s="61">
        <f t="shared" si="5"/>
        <v>0</v>
      </c>
      <c r="J27" s="61">
        <f t="shared" si="6"/>
        <v>0</v>
      </c>
      <c r="K27" s="132"/>
      <c r="L27" s="61">
        <f t="shared" si="1"/>
        <v>0</v>
      </c>
      <c r="M27" s="132"/>
      <c r="N27" s="132"/>
      <c r="O27" s="61">
        <f t="shared" si="2"/>
        <v>0</v>
      </c>
      <c r="P27" s="60"/>
      <c r="Q27" s="60"/>
      <c r="R27" s="60"/>
    </row>
    <row r="28" spans="1:18" ht="18.75">
      <c r="A28" s="8" t="s">
        <v>58</v>
      </c>
      <c r="B28" s="8">
        <v>1110501300</v>
      </c>
      <c r="C28" s="59">
        <v>1610</v>
      </c>
      <c r="D28" s="161">
        <v>780</v>
      </c>
      <c r="E28" s="60">
        <f t="shared" si="15"/>
        <v>2390</v>
      </c>
      <c r="F28" s="60">
        <f>60+420+420</f>
        <v>900</v>
      </c>
      <c r="G28" s="132">
        <v>2269.6999999999998</v>
      </c>
      <c r="H28" s="161">
        <f t="shared" si="16"/>
        <v>2419.8999999999996</v>
      </c>
      <c r="I28" s="61">
        <f t="shared" si="5"/>
        <v>1.012510460251046</v>
      </c>
      <c r="J28" s="61">
        <f t="shared" si="6"/>
        <v>2.6887777777777773</v>
      </c>
      <c r="K28" s="132">
        <v>1979.8</v>
      </c>
      <c r="L28" s="61">
        <f t="shared" si="1"/>
        <v>1.2222951813314475</v>
      </c>
      <c r="M28" s="132">
        <v>150.19999999999999</v>
      </c>
      <c r="N28" s="60">
        <v>199.5</v>
      </c>
      <c r="O28" s="61">
        <f t="shared" si="2"/>
        <v>0.75288220551378437</v>
      </c>
      <c r="P28" s="60">
        <f>99.5+501.9</f>
        <v>601.4</v>
      </c>
      <c r="Q28" s="60">
        <v>208.3</v>
      </c>
      <c r="R28" s="60">
        <v>335.6</v>
      </c>
    </row>
    <row r="29" spans="1:18" ht="18.75">
      <c r="A29" s="8" t="s">
        <v>59</v>
      </c>
      <c r="B29" s="8">
        <v>1110502505</v>
      </c>
      <c r="C29" s="59"/>
      <c r="D29" s="161"/>
      <c r="E29" s="60">
        <f t="shared" si="15"/>
        <v>0</v>
      </c>
      <c r="F29" s="60"/>
      <c r="G29" s="132">
        <v>0.8</v>
      </c>
      <c r="H29" s="60">
        <f t="shared" si="16"/>
        <v>0.8</v>
      </c>
      <c r="I29" s="61">
        <f t="shared" si="5"/>
        <v>0</v>
      </c>
      <c r="J29" s="61">
        <f t="shared" si="6"/>
        <v>0</v>
      </c>
      <c r="K29" s="132">
        <v>0.8</v>
      </c>
      <c r="L29" s="61">
        <f t="shared" si="1"/>
        <v>1</v>
      </c>
      <c r="M29" s="132"/>
      <c r="N29" s="60"/>
      <c r="O29" s="61">
        <f t="shared" si="2"/>
        <v>0</v>
      </c>
      <c r="P29" s="60"/>
      <c r="Q29" s="60"/>
      <c r="R29" s="60"/>
    </row>
    <row r="30" spans="1:18" ht="18.75">
      <c r="A30" s="157" t="s">
        <v>60</v>
      </c>
      <c r="B30" s="8">
        <v>1110503505</v>
      </c>
      <c r="C30" s="170">
        <f>10094+5489.5</f>
        <v>15583.5</v>
      </c>
      <c r="D30" s="161">
        <f>-14500-13.5</f>
        <v>-14513.5</v>
      </c>
      <c r="E30" s="60">
        <f t="shared" si="15"/>
        <v>1070</v>
      </c>
      <c r="F30" s="60">
        <f>250+140+365+165.3+267</f>
        <v>1187.3</v>
      </c>
      <c r="G30" s="132">
        <v>956.4</v>
      </c>
      <c r="H30" s="60">
        <f t="shared" si="16"/>
        <v>1100.5</v>
      </c>
      <c r="I30" s="61">
        <f t="shared" si="5"/>
        <v>1.0285046728971963</v>
      </c>
      <c r="J30" s="61">
        <f t="shared" si="6"/>
        <v>0.92689295039164499</v>
      </c>
      <c r="K30" s="132">
        <v>1141.5999999999999</v>
      </c>
      <c r="L30" s="61">
        <f t="shared" si="1"/>
        <v>0.96399789768745625</v>
      </c>
      <c r="M30" s="132">
        <v>144.1</v>
      </c>
      <c r="N30" s="60">
        <v>190.8</v>
      </c>
      <c r="O30" s="61">
        <f t="shared" si="2"/>
        <v>0.75524109014675045</v>
      </c>
      <c r="P30" s="60">
        <v>408</v>
      </c>
      <c r="Q30" s="60"/>
      <c r="R30" s="60"/>
    </row>
    <row r="31" spans="1:18" ht="18.75">
      <c r="A31" s="8" t="s">
        <v>112</v>
      </c>
      <c r="B31" s="156">
        <v>1110507505</v>
      </c>
      <c r="C31" s="170">
        <v>260</v>
      </c>
      <c r="D31" s="161">
        <f>14500+31000-36020+8</f>
        <v>9488</v>
      </c>
      <c r="E31" s="60">
        <f t="shared" si="15"/>
        <v>9748</v>
      </c>
      <c r="F31" s="60"/>
      <c r="G31" s="132">
        <v>7118.5</v>
      </c>
      <c r="H31" s="60">
        <f t="shared" si="16"/>
        <v>9748.2999999999993</v>
      </c>
      <c r="I31" s="61">
        <f t="shared" si="5"/>
        <v>1.0000307755437012</v>
      </c>
      <c r="J31" s="61"/>
      <c r="K31" s="132">
        <v>97.4</v>
      </c>
      <c r="L31" s="61">
        <f t="shared" si="1"/>
        <v>100.08521560574947</v>
      </c>
      <c r="M31" s="132">
        <v>2629.8</v>
      </c>
      <c r="N31" s="60">
        <v>0.1</v>
      </c>
      <c r="O31" s="61">
        <f t="shared" si="2"/>
        <v>26298</v>
      </c>
      <c r="P31" s="60"/>
      <c r="Q31" s="60"/>
      <c r="R31" s="60"/>
    </row>
    <row r="32" spans="1:18" ht="18.75">
      <c r="A32" s="8" t="s">
        <v>23</v>
      </c>
      <c r="B32" s="8">
        <v>1110904505</v>
      </c>
      <c r="C32" s="59"/>
      <c r="D32" s="161">
        <v>47.7</v>
      </c>
      <c r="E32" s="60">
        <f t="shared" si="15"/>
        <v>47.7</v>
      </c>
      <c r="F32" s="60"/>
      <c r="G32" s="132">
        <v>41.9</v>
      </c>
      <c r="H32" s="60">
        <f t="shared" si="16"/>
        <v>47.8</v>
      </c>
      <c r="I32" s="61">
        <f t="shared" si="5"/>
        <v>1.0020964360587001</v>
      </c>
      <c r="J32" s="61">
        <f t="shared" si="6"/>
        <v>0</v>
      </c>
      <c r="K32" s="132">
        <v>36.5</v>
      </c>
      <c r="L32" s="61">
        <f t="shared" si="1"/>
        <v>1.3095890410958904</v>
      </c>
      <c r="M32" s="132">
        <v>5.9</v>
      </c>
      <c r="N32" s="60">
        <v>8.3000000000000007</v>
      </c>
      <c r="O32" s="61">
        <f t="shared" si="2"/>
        <v>0.71084337349397586</v>
      </c>
      <c r="P32" s="60"/>
      <c r="Q32" s="60">
        <v>21</v>
      </c>
      <c r="R32" s="60">
        <v>31</v>
      </c>
    </row>
    <row r="33" spans="1:18" ht="18.75">
      <c r="A33" s="44" t="s">
        <v>65</v>
      </c>
      <c r="B33" s="38">
        <v>1120100000</v>
      </c>
      <c r="C33" s="57">
        <v>679.6</v>
      </c>
      <c r="D33" s="240"/>
      <c r="E33" s="62">
        <f t="shared" si="15"/>
        <v>679.6</v>
      </c>
      <c r="F33" s="62">
        <f>30+30+15</f>
        <v>75</v>
      </c>
      <c r="G33" s="133">
        <v>980.3</v>
      </c>
      <c r="H33" s="62">
        <f t="shared" si="16"/>
        <v>980.59999999999991</v>
      </c>
      <c r="I33" s="58">
        <f t="shared" si="5"/>
        <v>1.4429075927015891</v>
      </c>
      <c r="J33" s="58">
        <f t="shared" si="6"/>
        <v>13.074666666666666</v>
      </c>
      <c r="K33" s="133">
        <v>1244.5999999999999</v>
      </c>
      <c r="L33" s="58">
        <f t="shared" si="1"/>
        <v>0.7878836573999678</v>
      </c>
      <c r="M33" s="133">
        <v>0.3</v>
      </c>
      <c r="N33" s="62"/>
      <c r="O33" s="58">
        <f t="shared" si="2"/>
        <v>0</v>
      </c>
      <c r="P33" s="62"/>
      <c r="Q33" s="62"/>
      <c r="R33" s="62"/>
    </row>
    <row r="34" spans="1:18" ht="18.75">
      <c r="A34" s="44" t="s">
        <v>66</v>
      </c>
      <c r="B34" s="38">
        <v>1130000000</v>
      </c>
      <c r="C34" s="57">
        <f t="shared" ref="C34:H34" si="17">SUM(C35:C37)</f>
        <v>8150</v>
      </c>
      <c r="D34" s="239">
        <f t="shared" si="17"/>
        <v>1331</v>
      </c>
      <c r="E34" s="57">
        <f t="shared" si="17"/>
        <v>9481</v>
      </c>
      <c r="F34" s="57">
        <f t="shared" si="17"/>
        <v>5703.4</v>
      </c>
      <c r="G34" s="57">
        <f t="shared" si="17"/>
        <v>8150</v>
      </c>
      <c r="H34" s="57">
        <f t="shared" si="17"/>
        <v>9070.6</v>
      </c>
      <c r="I34" s="58">
        <f t="shared" si="5"/>
        <v>0.95671342685370742</v>
      </c>
      <c r="J34" s="58">
        <f t="shared" si="6"/>
        <v>1.5903846828207737</v>
      </c>
      <c r="K34" s="131">
        <f>SUM(K35:K37)</f>
        <v>9027.4</v>
      </c>
      <c r="L34" s="58">
        <f t="shared" si="1"/>
        <v>1.0047854310211135</v>
      </c>
      <c r="M34" s="131">
        <f>SUM(M35:M37)</f>
        <v>920.59999999999991</v>
      </c>
      <c r="N34" s="131">
        <f>SUM(N35:N37)</f>
        <v>933.19999999999993</v>
      </c>
      <c r="O34" s="58">
        <f t="shared" si="2"/>
        <v>0.98649807115302179</v>
      </c>
      <c r="P34" s="57">
        <f>SUM(P35:P37)</f>
        <v>0</v>
      </c>
      <c r="Q34" s="57">
        <f>SUM(Q35:Q37)</f>
        <v>0</v>
      </c>
      <c r="R34" s="57">
        <f>SUM(R35:R37)</f>
        <v>0</v>
      </c>
    </row>
    <row r="35" spans="1:18" ht="18.75">
      <c r="A35" s="45" t="s">
        <v>34</v>
      </c>
      <c r="B35" s="45">
        <v>1130199505</v>
      </c>
      <c r="C35" s="59">
        <v>7800</v>
      </c>
      <c r="D35" s="161">
        <v>-692</v>
      </c>
      <c r="E35" s="60">
        <f>C35+D35</f>
        <v>7108</v>
      </c>
      <c r="F35" s="60">
        <f>1963.4+1945+1295</f>
        <v>5203.3999999999996</v>
      </c>
      <c r="G35" s="132">
        <v>5885.6</v>
      </c>
      <c r="H35" s="60">
        <f>G35+M35</f>
        <v>6609</v>
      </c>
      <c r="I35" s="61">
        <f t="shared" si="5"/>
        <v>0.92979741136747329</v>
      </c>
      <c r="J35" s="61">
        <f t="shared" si="6"/>
        <v>1.2701310681477496</v>
      </c>
      <c r="K35" s="132">
        <v>6498.4</v>
      </c>
      <c r="L35" s="61">
        <f t="shared" si="1"/>
        <v>1.0170195740489967</v>
      </c>
      <c r="M35" s="132">
        <v>723.4</v>
      </c>
      <c r="N35" s="60">
        <v>714.8</v>
      </c>
      <c r="O35" s="61">
        <f t="shared" si="2"/>
        <v>1.0120313374370453</v>
      </c>
      <c r="P35" s="60"/>
      <c r="Q35" s="60"/>
      <c r="R35" s="60"/>
    </row>
    <row r="36" spans="1:18" ht="18.75">
      <c r="A36" s="45" t="s">
        <v>35</v>
      </c>
      <c r="B36" s="45">
        <v>1130206505</v>
      </c>
      <c r="C36" s="59">
        <v>350</v>
      </c>
      <c r="D36" s="161"/>
      <c r="E36" s="60">
        <f>C36+D36</f>
        <v>350</v>
      </c>
      <c r="F36" s="60">
        <f>240+165+95</f>
        <v>500</v>
      </c>
      <c r="G36" s="132">
        <v>358.5</v>
      </c>
      <c r="H36" s="60">
        <f>G36+M36</f>
        <v>413.3</v>
      </c>
      <c r="I36" s="61">
        <f t="shared" si="5"/>
        <v>1.1808571428571428</v>
      </c>
      <c r="J36" s="61">
        <f t="shared" si="6"/>
        <v>0.8266</v>
      </c>
      <c r="K36" s="132">
        <v>399.5</v>
      </c>
      <c r="L36" s="61">
        <f t="shared" si="1"/>
        <v>1.0345431789737172</v>
      </c>
      <c r="M36" s="132">
        <v>54.8</v>
      </c>
      <c r="N36" s="60">
        <v>34.5</v>
      </c>
      <c r="O36" s="61">
        <f t="shared" si="2"/>
        <v>1.5884057971014491</v>
      </c>
      <c r="P36" s="60"/>
      <c r="Q36" s="60"/>
      <c r="R36" s="60"/>
    </row>
    <row r="37" spans="1:18" ht="18.75">
      <c r="A37" s="45" t="s">
        <v>62</v>
      </c>
      <c r="B37" s="45">
        <v>1130299505</v>
      </c>
      <c r="C37" s="59"/>
      <c r="D37" s="161">
        <v>2023</v>
      </c>
      <c r="E37" s="60">
        <f>C37+D37</f>
        <v>2023</v>
      </c>
      <c r="F37" s="60"/>
      <c r="G37" s="132">
        <v>1905.9</v>
      </c>
      <c r="H37" s="60">
        <f>G37+M37</f>
        <v>2048.3000000000002</v>
      </c>
      <c r="I37" s="61">
        <f t="shared" si="5"/>
        <v>1.0125061789421652</v>
      </c>
      <c r="J37" s="61">
        <f t="shared" si="6"/>
        <v>0</v>
      </c>
      <c r="K37" s="132">
        <v>2129.5</v>
      </c>
      <c r="L37" s="61">
        <f t="shared" si="1"/>
        <v>0.96186898332942017</v>
      </c>
      <c r="M37" s="132">
        <v>142.4</v>
      </c>
      <c r="N37" s="60">
        <v>183.9</v>
      </c>
      <c r="O37" s="61">
        <f t="shared" si="2"/>
        <v>0.77433387710712342</v>
      </c>
      <c r="P37" s="60"/>
      <c r="Q37" s="60"/>
      <c r="R37" s="60"/>
    </row>
    <row r="38" spans="1:18" ht="18.75">
      <c r="A38" s="44" t="s">
        <v>67</v>
      </c>
      <c r="B38" s="38">
        <v>1140000000</v>
      </c>
      <c r="C38" s="57">
        <f>SUM(C39:C41)</f>
        <v>9</v>
      </c>
      <c r="D38" s="239">
        <f>SUM(D39:D41)</f>
        <v>2931.0000000000014</v>
      </c>
      <c r="E38" s="57">
        <f t="shared" ref="E38:H38" si="18">SUM(E39:E41)</f>
        <v>2940.0000000000014</v>
      </c>
      <c r="F38" s="57">
        <f t="shared" si="18"/>
        <v>0</v>
      </c>
      <c r="G38" s="57">
        <f t="shared" si="18"/>
        <v>3124.2</v>
      </c>
      <c r="H38" s="57">
        <f t="shared" si="18"/>
        <v>3316.4</v>
      </c>
      <c r="I38" s="58">
        <f t="shared" si="5"/>
        <v>1.1280272108843532</v>
      </c>
      <c r="J38" s="58">
        <f t="shared" si="6"/>
        <v>0</v>
      </c>
      <c r="K38" s="57">
        <f>SUM(K39:K41)</f>
        <v>1734.6</v>
      </c>
      <c r="L38" s="58">
        <f t="shared" si="1"/>
        <v>1.9119105269226335</v>
      </c>
      <c r="M38" s="57">
        <f t="shared" ref="M38:N38" si="19">SUM(M39:M41)</f>
        <v>192.2</v>
      </c>
      <c r="N38" s="57">
        <f t="shared" si="19"/>
        <v>220</v>
      </c>
      <c r="O38" s="58">
        <f>IF(N38&gt;0,M38/N38,0)</f>
        <v>0.87363636363636354</v>
      </c>
      <c r="P38" s="57">
        <f>SUM(P40:P41)</f>
        <v>0</v>
      </c>
      <c r="Q38" s="57">
        <f>SUM(Q40:Q41)</f>
        <v>0</v>
      </c>
      <c r="R38" s="57">
        <f>SUM(R40:R41)</f>
        <v>0</v>
      </c>
    </row>
    <row r="39" spans="1:18" ht="18.75">
      <c r="A39" s="216" t="s">
        <v>127</v>
      </c>
      <c r="B39" s="215">
        <v>1140205205</v>
      </c>
      <c r="C39" s="217"/>
      <c r="D39" s="241"/>
      <c r="E39" s="217"/>
      <c r="F39" s="217"/>
      <c r="G39" s="218">
        <v>47.9</v>
      </c>
      <c r="H39" s="60">
        <f>G39+M39</f>
        <v>47.9</v>
      </c>
      <c r="I39" s="61">
        <f t="shared" si="5"/>
        <v>0</v>
      </c>
      <c r="J39" s="219"/>
      <c r="K39" s="218"/>
      <c r="L39" s="61">
        <f t="shared" si="1"/>
        <v>0</v>
      </c>
      <c r="M39" s="218"/>
      <c r="N39" s="218"/>
      <c r="O39" s="61">
        <f>IF(N39&gt;0,M39/N39,0)</f>
        <v>0</v>
      </c>
      <c r="P39" s="217"/>
      <c r="Q39" s="217"/>
      <c r="R39" s="217"/>
    </row>
    <row r="40" spans="1:18" ht="18.75">
      <c r="A40" s="8" t="s">
        <v>31</v>
      </c>
      <c r="B40" s="8">
        <v>1140205305</v>
      </c>
      <c r="C40" s="59"/>
      <c r="D40" s="161">
        <f>27769.001-25682.601</f>
        <v>2086.4000000000015</v>
      </c>
      <c r="E40" s="60">
        <f>C40+D40</f>
        <v>2086.4000000000015</v>
      </c>
      <c r="F40" s="60"/>
      <c r="G40" s="132">
        <v>2086.5</v>
      </c>
      <c r="H40" s="60">
        <f>G40+M40</f>
        <v>2086.5</v>
      </c>
      <c r="I40" s="61">
        <f t="shared" si="5"/>
        <v>1.0000479294478521</v>
      </c>
      <c r="J40" s="61">
        <f t="shared" si="6"/>
        <v>0</v>
      </c>
      <c r="K40" s="132">
        <v>1441.2</v>
      </c>
      <c r="L40" s="61">
        <f t="shared" si="1"/>
        <v>1.4477518734388009</v>
      </c>
      <c r="M40" s="132"/>
      <c r="N40" s="60">
        <v>220</v>
      </c>
      <c r="O40" s="61">
        <f>IF(N40&gt;0,M40/N40,0)</f>
        <v>0</v>
      </c>
      <c r="P40" s="60"/>
      <c r="Q40" s="60"/>
      <c r="R40" s="60"/>
    </row>
    <row r="41" spans="1:18" ht="18.75">
      <c r="A41" s="8" t="s">
        <v>32</v>
      </c>
      <c r="B41" s="8">
        <v>1140600000</v>
      </c>
      <c r="C41" s="59">
        <v>9</v>
      </c>
      <c r="D41" s="161">
        <v>844.6</v>
      </c>
      <c r="E41" s="60">
        <f>C41+D41</f>
        <v>853.6</v>
      </c>
      <c r="F41" s="60"/>
      <c r="G41" s="132">
        <v>989.8</v>
      </c>
      <c r="H41" s="60">
        <f>G41+M41</f>
        <v>1182</v>
      </c>
      <c r="I41" s="61">
        <f t="shared" si="5"/>
        <v>1.3847235238987816</v>
      </c>
      <c r="J41" s="61">
        <f t="shared" si="6"/>
        <v>0</v>
      </c>
      <c r="K41" s="132">
        <v>293.39999999999998</v>
      </c>
      <c r="L41" s="61">
        <f t="shared" si="1"/>
        <v>4.0286298568507162</v>
      </c>
      <c r="M41" s="132">
        <v>192.2</v>
      </c>
      <c r="N41" s="60"/>
      <c r="O41" s="61">
        <f t="shared" si="2"/>
        <v>0</v>
      </c>
      <c r="P41" s="60"/>
      <c r="Q41" s="60"/>
      <c r="R41" s="60"/>
    </row>
    <row r="42" spans="1:18" ht="18.75">
      <c r="A42" s="44" t="s">
        <v>68</v>
      </c>
      <c r="B42" s="38">
        <v>1160000000</v>
      </c>
      <c r="C42" s="57">
        <v>823.7</v>
      </c>
      <c r="D42" s="62">
        <f>180.964+190.54-0.04</f>
        <v>371.464</v>
      </c>
      <c r="E42" s="62">
        <f>C42+D42</f>
        <v>1195.164</v>
      </c>
      <c r="F42" s="62">
        <f>38+45</f>
        <v>83</v>
      </c>
      <c r="G42" s="133">
        <v>1119.5</v>
      </c>
      <c r="H42" s="62">
        <f>G42+M42</f>
        <v>1154.3</v>
      </c>
      <c r="I42" s="58">
        <f t="shared" si="5"/>
        <v>0.96580887643871471</v>
      </c>
      <c r="J42" s="58">
        <f t="shared" si="6"/>
        <v>13.90722891566265</v>
      </c>
      <c r="K42" s="133">
        <v>2376.5</v>
      </c>
      <c r="L42" s="58">
        <f t="shared" si="1"/>
        <v>0.48571428571428571</v>
      </c>
      <c r="M42" s="133">
        <v>34.799999999999997</v>
      </c>
      <c r="N42" s="62">
        <v>50.7</v>
      </c>
      <c r="O42" s="58">
        <f t="shared" si="2"/>
        <v>0.68639053254437865</v>
      </c>
      <c r="P42" s="62"/>
      <c r="Q42" s="62"/>
      <c r="R42" s="62"/>
    </row>
    <row r="43" spans="1:18" ht="18.75">
      <c r="A43" s="44" t="s">
        <v>69</v>
      </c>
      <c r="B43" s="38">
        <v>1170000000</v>
      </c>
      <c r="C43" s="57">
        <f t="shared" ref="C43:H43" si="20">SUM(C44:C46)</f>
        <v>833</v>
      </c>
      <c r="D43" s="57">
        <f t="shared" si="20"/>
        <v>15</v>
      </c>
      <c r="E43" s="57">
        <f t="shared" si="20"/>
        <v>848</v>
      </c>
      <c r="F43" s="57">
        <f t="shared" si="20"/>
        <v>0</v>
      </c>
      <c r="G43" s="57">
        <f t="shared" si="20"/>
        <v>848.4</v>
      </c>
      <c r="H43" s="57">
        <f t="shared" si="20"/>
        <v>848.4</v>
      </c>
      <c r="I43" s="58">
        <f t="shared" si="5"/>
        <v>1.0004716981132076</v>
      </c>
      <c r="J43" s="58">
        <f t="shared" si="6"/>
        <v>0</v>
      </c>
      <c r="K43" s="57">
        <f>SUM(K44:K46)</f>
        <v>875.7</v>
      </c>
      <c r="L43" s="58">
        <f t="shared" si="1"/>
        <v>0.9688249400479616</v>
      </c>
      <c r="M43" s="57">
        <f>SUM(M44:M46)</f>
        <v>0</v>
      </c>
      <c r="N43" s="57">
        <f>SUM(N44:N46)</f>
        <v>-1.8</v>
      </c>
      <c r="O43" s="58">
        <f t="shared" si="2"/>
        <v>0</v>
      </c>
      <c r="P43" s="57">
        <f>SUM(P44:P45)</f>
        <v>0</v>
      </c>
      <c r="Q43" s="57">
        <f>SUM(Q44:Q45)</f>
        <v>0</v>
      </c>
      <c r="R43" s="57">
        <f>SUM(R44:R45)</f>
        <v>0</v>
      </c>
    </row>
    <row r="44" spans="1:18" ht="18.75">
      <c r="A44" s="8" t="s">
        <v>8</v>
      </c>
      <c r="B44" s="8">
        <v>1170105005</v>
      </c>
      <c r="C44" s="59"/>
      <c r="D44" s="60"/>
      <c r="E44" s="60">
        <f>C44+D44</f>
        <v>0</v>
      </c>
      <c r="F44" s="60"/>
      <c r="G44" s="132">
        <v>0.3</v>
      </c>
      <c r="H44" s="60">
        <f>G44+M44</f>
        <v>0.3</v>
      </c>
      <c r="I44" s="61">
        <f t="shared" si="5"/>
        <v>0</v>
      </c>
      <c r="J44" s="61">
        <f t="shared" si="6"/>
        <v>0</v>
      </c>
      <c r="K44" s="132">
        <v>0.1</v>
      </c>
      <c r="L44" s="61">
        <f t="shared" si="1"/>
        <v>2.9999999999999996</v>
      </c>
      <c r="M44" s="132"/>
      <c r="N44" s="60">
        <v>-1.8</v>
      </c>
      <c r="O44" s="61">
        <f t="shared" si="2"/>
        <v>0</v>
      </c>
      <c r="P44" s="60"/>
      <c r="Q44" s="60"/>
      <c r="R44" s="60"/>
    </row>
    <row r="45" spans="1:18" ht="18.75">
      <c r="A45" s="8" t="s">
        <v>14</v>
      </c>
      <c r="B45" s="8">
        <v>1170505005</v>
      </c>
      <c r="C45" s="59"/>
      <c r="D45" s="60"/>
      <c r="E45" s="60">
        <f>C45+D45</f>
        <v>0</v>
      </c>
      <c r="F45" s="60"/>
      <c r="G45" s="132"/>
      <c r="H45" s="60">
        <f>G45+M45</f>
        <v>0</v>
      </c>
      <c r="I45" s="61">
        <f t="shared" si="5"/>
        <v>0</v>
      </c>
      <c r="J45" s="61">
        <f t="shared" si="6"/>
        <v>0</v>
      </c>
      <c r="K45" s="132"/>
      <c r="L45" s="61">
        <f t="shared" si="1"/>
        <v>0</v>
      </c>
      <c r="M45" s="132"/>
      <c r="N45" s="60"/>
      <c r="O45" s="61">
        <f t="shared" si="2"/>
        <v>0</v>
      </c>
      <c r="P45" s="60"/>
      <c r="Q45" s="60"/>
      <c r="R45" s="60"/>
    </row>
    <row r="46" spans="1:18" ht="18.75">
      <c r="A46" s="45" t="s">
        <v>114</v>
      </c>
      <c r="B46" s="158">
        <v>1171503005</v>
      </c>
      <c r="C46" s="59">
        <v>833</v>
      </c>
      <c r="D46" s="60">
        <v>15</v>
      </c>
      <c r="E46" s="60">
        <f>C46+D46</f>
        <v>848</v>
      </c>
      <c r="F46" s="60"/>
      <c r="G46" s="132">
        <v>848.1</v>
      </c>
      <c r="H46" s="60">
        <f>G46+M46</f>
        <v>848.1</v>
      </c>
      <c r="I46" s="61">
        <f t="shared" si="5"/>
        <v>1.0001179245283018</v>
      </c>
      <c r="J46" s="61"/>
      <c r="K46" s="132">
        <v>875.6</v>
      </c>
      <c r="L46" s="61">
        <f t="shared" si="1"/>
        <v>0.96859296482412061</v>
      </c>
      <c r="M46" s="132"/>
      <c r="N46" s="60"/>
      <c r="O46" s="61">
        <f t="shared" si="2"/>
        <v>0</v>
      </c>
      <c r="P46" s="60"/>
      <c r="Q46" s="60"/>
      <c r="R46" s="60"/>
    </row>
    <row r="47" spans="1:18" ht="18.75" customHeight="1">
      <c r="A47" s="43" t="s">
        <v>89</v>
      </c>
      <c r="B47" s="43">
        <v>1000000000</v>
      </c>
      <c r="C47" s="55">
        <f t="shared" ref="C47:H47" si="21">C4+C25</f>
        <v>104431.5</v>
      </c>
      <c r="D47" s="55">
        <f t="shared" si="21"/>
        <v>20723.263999999999</v>
      </c>
      <c r="E47" s="55">
        <f t="shared" si="21"/>
        <v>125154.76400000001</v>
      </c>
      <c r="F47" s="55">
        <f t="shared" si="21"/>
        <v>36236.400000000001</v>
      </c>
      <c r="G47" s="55">
        <f>G4+G25</f>
        <v>116195.20000000001</v>
      </c>
      <c r="H47" s="120">
        <f t="shared" si="21"/>
        <v>124348.8</v>
      </c>
      <c r="I47" s="56">
        <f t="shared" si="5"/>
        <v>0.99356026111798668</v>
      </c>
      <c r="J47" s="56">
        <f t="shared" si="6"/>
        <v>3.4315991654800144</v>
      </c>
      <c r="K47" s="55">
        <f>K4+K25</f>
        <v>95869.299999999988</v>
      </c>
      <c r="L47" s="56">
        <f t="shared" si="1"/>
        <v>1.2970659011800443</v>
      </c>
      <c r="M47" s="55">
        <f>M4+M25</f>
        <v>8153.6</v>
      </c>
      <c r="N47" s="55">
        <f>N4+N25</f>
        <v>6257.9000000000005</v>
      </c>
      <c r="O47" s="56">
        <f t="shared" si="2"/>
        <v>1.3029290976206076</v>
      </c>
      <c r="P47" s="55">
        <f>P4+P25</f>
        <v>4360.0999999999995</v>
      </c>
      <c r="Q47" s="55">
        <f>Q4+Q25</f>
        <v>2728.2999999999993</v>
      </c>
      <c r="R47" s="55">
        <f>R4+R25</f>
        <v>2688.7</v>
      </c>
    </row>
    <row r="48" spans="1:18" ht="18.75" customHeight="1">
      <c r="A48" s="43" t="s">
        <v>91</v>
      </c>
      <c r="B48" s="43"/>
      <c r="C48" s="55">
        <f>C47-C11-7700-C33</f>
        <v>85523.599999999991</v>
      </c>
      <c r="D48" s="55">
        <f>D47-D11-D33</f>
        <v>19970.164000000001</v>
      </c>
      <c r="E48" s="55">
        <f>C48+D48</f>
        <v>105493.764</v>
      </c>
      <c r="F48" s="55">
        <f>F47-F11-1728.4-1750</f>
        <v>27993</v>
      </c>
      <c r="G48" s="55">
        <f>G47-G11-G33-5118.5</f>
        <v>99754.900000000009</v>
      </c>
      <c r="H48" s="120">
        <f t="shared" ref="H48:H53" si="22">G48+M48</f>
        <v>106285.50000000001</v>
      </c>
      <c r="I48" s="56">
        <f>IF(E48&gt;0,H48/E48,0)</f>
        <v>1.007505050251122</v>
      </c>
      <c r="J48" s="56">
        <f>IF(F48&gt;0,H48/F48,0)</f>
        <v>3.7968599292680318</v>
      </c>
      <c r="K48" s="55">
        <v>69832.7</v>
      </c>
      <c r="L48" s="56">
        <f t="shared" si="1"/>
        <v>1.5220018701840259</v>
      </c>
      <c r="M48" s="120">
        <f>M47-M11-M33-670.8</f>
        <v>6530.6</v>
      </c>
      <c r="N48" s="55">
        <f>N47-N11-N33-487.3</f>
        <v>4738.6000000000004</v>
      </c>
      <c r="O48" s="56">
        <f t="shared" si="2"/>
        <v>1.3781707677373063</v>
      </c>
      <c r="P48" s="55"/>
      <c r="Q48" s="55"/>
      <c r="R48" s="55"/>
    </row>
    <row r="49" spans="1:18" ht="18.75">
      <c r="A49" s="8" t="s">
        <v>36</v>
      </c>
      <c r="B49" s="8">
        <v>2000000000</v>
      </c>
      <c r="C49" s="59">
        <v>482107.96</v>
      </c>
      <c r="D49" s="128">
        <f>64132.126+19975.19+2194.76-9821.126</f>
        <v>76480.949999999983</v>
      </c>
      <c r="E49" s="128">
        <f>C49+D49</f>
        <v>558588.91</v>
      </c>
      <c r="F49" s="60">
        <f>34850.65+571.1+470.1+38803.34</f>
        <v>74695.19</v>
      </c>
      <c r="G49" s="60">
        <v>502227</v>
      </c>
      <c r="H49" s="60">
        <f t="shared" si="22"/>
        <v>557801.69999999995</v>
      </c>
      <c r="I49" s="61">
        <f t="shared" si="5"/>
        <v>0.99859071674015143</v>
      </c>
      <c r="J49" s="61">
        <f t="shared" si="6"/>
        <v>7.4677057518696977</v>
      </c>
      <c r="K49" s="60">
        <v>290447.09999999998</v>
      </c>
      <c r="L49" s="61">
        <f t="shared" si="1"/>
        <v>1.9204932671044055</v>
      </c>
      <c r="M49" s="60">
        <v>55574.7</v>
      </c>
      <c r="N49" s="60">
        <v>33163.5</v>
      </c>
      <c r="O49" s="61">
        <f t="shared" si="2"/>
        <v>1.6757790944864082</v>
      </c>
      <c r="P49" s="60"/>
      <c r="Q49" s="60"/>
      <c r="R49" s="60"/>
    </row>
    <row r="50" spans="1:18" ht="18.75">
      <c r="A50" s="8" t="s">
        <v>113</v>
      </c>
      <c r="B50" s="46" t="s">
        <v>102</v>
      </c>
      <c r="C50" s="59">
        <v>91847.7</v>
      </c>
      <c r="D50" s="60">
        <f>-72082.1+83.431</f>
        <v>-71998.669000000009</v>
      </c>
      <c r="E50" s="128">
        <f>C50+D50</f>
        <v>19849.030999999988</v>
      </c>
      <c r="F50" s="60"/>
      <c r="G50" s="60">
        <v>14439.2</v>
      </c>
      <c r="H50" s="60">
        <f t="shared" si="22"/>
        <v>17552.900000000001</v>
      </c>
      <c r="I50" s="61">
        <f t="shared" si="5"/>
        <v>0.88432024716974911</v>
      </c>
      <c r="J50" s="61">
        <f t="shared" si="6"/>
        <v>0</v>
      </c>
      <c r="K50" s="60">
        <v>767.8</v>
      </c>
      <c r="L50" s="61">
        <f t="shared" si="1"/>
        <v>22.861292003125818</v>
      </c>
      <c r="M50" s="60">
        <v>3113.7</v>
      </c>
      <c r="N50" s="60"/>
      <c r="O50" s="61">
        <f t="shared" si="2"/>
        <v>0</v>
      </c>
      <c r="P50" s="60"/>
      <c r="Q50" s="60"/>
      <c r="R50" s="60"/>
    </row>
    <row r="51" spans="1:18" ht="18.75">
      <c r="A51" s="8" t="s">
        <v>46</v>
      </c>
      <c r="B51" s="46" t="s">
        <v>37</v>
      </c>
      <c r="C51" s="59"/>
      <c r="D51" s="60">
        <f>9741.6</f>
        <v>9741.6</v>
      </c>
      <c r="E51" s="60">
        <f>C51+D51</f>
        <v>9741.6</v>
      </c>
      <c r="F51" s="60"/>
      <c r="G51" s="60">
        <v>9506.5</v>
      </c>
      <c r="H51" s="60">
        <f t="shared" si="22"/>
        <v>9514.1</v>
      </c>
      <c r="I51" s="61">
        <f t="shared" si="5"/>
        <v>0.97664654676849794</v>
      </c>
      <c r="J51" s="61"/>
      <c r="K51" s="60">
        <v>27.3</v>
      </c>
      <c r="L51" s="61">
        <f t="shared" si="1"/>
        <v>348.50183150183153</v>
      </c>
      <c r="M51" s="60">
        <v>7.6</v>
      </c>
      <c r="N51" s="60">
        <v>0.6</v>
      </c>
      <c r="O51" s="61">
        <f t="shared" si="2"/>
        <v>12.666666666666666</v>
      </c>
      <c r="P51" s="60"/>
      <c r="Q51" s="60"/>
      <c r="R51" s="60"/>
    </row>
    <row r="52" spans="1:18" ht="18.75">
      <c r="A52" s="8" t="s">
        <v>116</v>
      </c>
      <c r="B52" s="46" t="s">
        <v>115</v>
      </c>
      <c r="C52" s="59"/>
      <c r="D52" s="60"/>
      <c r="E52" s="60"/>
      <c r="F52" s="60"/>
      <c r="G52" s="60">
        <v>-98.2</v>
      </c>
      <c r="H52" s="60">
        <f t="shared" si="22"/>
        <v>0</v>
      </c>
      <c r="I52" s="61"/>
      <c r="J52" s="61"/>
      <c r="K52" s="60"/>
      <c r="L52" s="61"/>
      <c r="M52" s="60">
        <v>98.2</v>
      </c>
      <c r="N52" s="60"/>
      <c r="O52" s="61"/>
      <c r="P52" s="60"/>
      <c r="Q52" s="60"/>
      <c r="R52" s="60"/>
    </row>
    <row r="53" spans="1:18" ht="18.75">
      <c r="A53" s="8" t="s">
        <v>93</v>
      </c>
      <c r="B53" s="46" t="s">
        <v>109</v>
      </c>
      <c r="C53" s="59"/>
      <c r="D53" s="128"/>
      <c r="E53" s="128">
        <f>C53+D53</f>
        <v>0</v>
      </c>
      <c r="F53" s="60"/>
      <c r="G53" s="60">
        <v>-5.9</v>
      </c>
      <c r="H53" s="60">
        <f t="shared" si="22"/>
        <v>-5.9</v>
      </c>
      <c r="I53" s="61">
        <f t="shared" si="5"/>
        <v>0</v>
      </c>
      <c r="J53" s="61"/>
      <c r="K53" s="60">
        <v>-5</v>
      </c>
      <c r="L53" s="61">
        <f t="shared" si="1"/>
        <v>0</v>
      </c>
      <c r="M53" s="60"/>
      <c r="N53" s="60"/>
      <c r="O53" s="61">
        <f t="shared" si="2"/>
        <v>0</v>
      </c>
      <c r="P53" s="60"/>
      <c r="Q53" s="60"/>
      <c r="R53" s="60"/>
    </row>
    <row r="54" spans="1:18" ht="18.75">
      <c r="A54" s="43" t="s">
        <v>2</v>
      </c>
      <c r="B54" s="43">
        <v>0</v>
      </c>
      <c r="C54" s="147">
        <f>C47+C49+C50+C51+C53</f>
        <v>678387.15999999992</v>
      </c>
      <c r="D54" s="147">
        <f>D47+D49+D50+D51+D53</f>
        <v>34947.144999999968</v>
      </c>
      <c r="E54" s="147">
        <f>E47+E49+E50+E51+E53</f>
        <v>713334.30499999993</v>
      </c>
      <c r="F54" s="120">
        <f>F47+F49+F50</f>
        <v>110931.59</v>
      </c>
      <c r="G54" s="120">
        <f>G47+G49+G50+G51+G53+G52</f>
        <v>642263.79999999993</v>
      </c>
      <c r="H54" s="120">
        <f>H47+H49+H50+H53+H51+H52</f>
        <v>709211.6</v>
      </c>
      <c r="I54" s="56">
        <f t="shared" si="5"/>
        <v>0.9942205148818688</v>
      </c>
      <c r="J54" s="56">
        <f t="shared" si="6"/>
        <v>6.3932338840541272</v>
      </c>
      <c r="K54" s="120">
        <f>K47+K49+K50+K53+K51+K52</f>
        <v>387106.49999999994</v>
      </c>
      <c r="L54" s="56">
        <f t="shared" si="1"/>
        <v>1.832083935557786</v>
      </c>
      <c r="M54" s="120">
        <f>M47+M49+M50+M53+M51+M52</f>
        <v>66947.8</v>
      </c>
      <c r="N54" s="120">
        <f>N47+N49+N50+N53+N51+N52</f>
        <v>39422</v>
      </c>
      <c r="O54" s="56">
        <f t="shared" si="2"/>
        <v>1.6982344883567553</v>
      </c>
      <c r="P54" s="55">
        <f>P47+P49+P50</f>
        <v>4360.0999999999995</v>
      </c>
      <c r="Q54" s="55">
        <f>Q47+Q49+Q50</f>
        <v>2728.2999999999993</v>
      </c>
      <c r="R54" s="55">
        <f>R47+R49+R50</f>
        <v>2688.7</v>
      </c>
    </row>
    <row r="55" spans="1:18" ht="19.5" customHeight="1">
      <c r="A55" s="3"/>
      <c r="B55" s="3"/>
      <c r="C55" s="3"/>
    </row>
    <row r="56" spans="1:18" ht="20.25">
      <c r="A56" s="3"/>
      <c r="B56" s="3"/>
      <c r="C56" s="3"/>
      <c r="E56" s="134"/>
      <c r="G56" s="129"/>
      <c r="H56" s="134"/>
    </row>
    <row r="57" spans="1:18">
      <c r="A57" s="3"/>
      <c r="B57" s="3"/>
      <c r="C57" s="3"/>
    </row>
    <row r="58" spans="1:18">
      <c r="A58" s="3"/>
      <c r="B58" s="3"/>
      <c r="C58" s="3"/>
      <c r="H58" s="134"/>
    </row>
  </sheetData>
  <mergeCells count="14">
    <mergeCell ref="P2:R2"/>
    <mergeCell ref="K2:L2"/>
    <mergeCell ref="M2:M3"/>
    <mergeCell ref="N2:N3"/>
    <mergeCell ref="O2:O3"/>
    <mergeCell ref="A1:M1"/>
    <mergeCell ref="A2:A3"/>
    <mergeCell ref="B2:B3"/>
    <mergeCell ref="C2:C3"/>
    <mergeCell ref="D2:D3"/>
    <mergeCell ref="E2:E3"/>
    <mergeCell ref="F2:F3"/>
    <mergeCell ref="G2:G3"/>
    <mergeCell ref="H2:J2"/>
  </mergeCells>
  <phoneticPr fontId="0" type="noConversion"/>
  <printOptions horizontalCentered="1"/>
  <pageMargins left="0.39370078740157483" right="0.19685039370078741" top="0.22" bottom="0.19" header="0.51181102362204722" footer="0.51181102362204722"/>
  <pageSetup paperSize="9" scale="54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1"/>
  <sheetViews>
    <sheetView zoomScale="98" zoomScaleNormal="98" workbookViewId="0">
      <pane xSplit="2" ySplit="4" topLeftCell="D26" activePane="bottomRight" state="frozen"/>
      <selection pane="topRight" activeCell="C1" sqref="C1"/>
      <selection pane="bottomLeft" activeCell="A5" sqref="A5"/>
      <selection pane="bottomRight" activeCell="R28" sqref="R28"/>
    </sheetView>
  </sheetViews>
  <sheetFormatPr defaultRowHeight="12.75"/>
  <cols>
    <col min="1" max="1" width="43.7109375" customWidth="1"/>
    <col min="2" max="3" width="14.42578125" customWidth="1"/>
    <col min="4" max="4" width="15.7109375" customWidth="1"/>
    <col min="5" max="5" width="15.140625" customWidth="1"/>
    <col min="6" max="6" width="10.7109375" hidden="1" customWidth="1"/>
    <col min="7" max="7" width="12.85546875" customWidth="1"/>
    <col min="8" max="8" width="12.7109375" customWidth="1"/>
    <col min="9" max="9" width="13.85546875" customWidth="1"/>
    <col min="10" max="10" width="0.140625" hidden="1" customWidth="1"/>
    <col min="11" max="11" width="11.42578125" customWidth="1"/>
    <col min="12" max="12" width="14" customWidth="1"/>
    <col min="13" max="13" width="12.28515625" customWidth="1"/>
    <col min="14" max="14" width="12.5703125" customWidth="1"/>
    <col min="15" max="15" width="13.5703125" customWidth="1"/>
    <col min="16" max="16" width="10.7109375" customWidth="1"/>
    <col min="17" max="17" width="10.42578125" customWidth="1"/>
    <col min="18" max="18" width="11" customWidth="1"/>
    <col min="19" max="20" width="9.140625" hidden="1" customWidth="1"/>
    <col min="21" max="21" width="0.140625" hidden="1" customWidth="1"/>
    <col min="22" max="22" width="11.28515625" customWidth="1"/>
  </cols>
  <sheetData>
    <row r="1" spans="1:22" ht="15.75">
      <c r="A1" s="26"/>
      <c r="B1" s="47"/>
      <c r="C1" s="250" t="s">
        <v>11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49"/>
      <c r="P1" s="26"/>
      <c r="Q1" s="26"/>
      <c r="R1" s="26"/>
    </row>
    <row r="2" spans="1:22" ht="15.75">
      <c r="A2" s="26"/>
      <c r="B2" s="251" t="s">
        <v>133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</row>
    <row r="3" spans="1:22" ht="13.5" customHeight="1" thickBot="1">
      <c r="A3" s="246" t="s">
        <v>3</v>
      </c>
      <c r="B3" s="248" t="s">
        <v>4</v>
      </c>
      <c r="C3" s="245" t="s">
        <v>124</v>
      </c>
      <c r="D3" s="245" t="s">
        <v>24</v>
      </c>
      <c r="E3" s="245" t="s">
        <v>125</v>
      </c>
      <c r="F3" s="245" t="s">
        <v>99</v>
      </c>
      <c r="G3" s="245" t="s">
        <v>128</v>
      </c>
      <c r="H3" s="245" t="s">
        <v>123</v>
      </c>
      <c r="I3" s="245"/>
      <c r="J3" s="245"/>
      <c r="K3" s="245" t="s">
        <v>117</v>
      </c>
      <c r="L3" s="245"/>
      <c r="M3" s="245" t="s">
        <v>138</v>
      </c>
      <c r="N3" s="245" t="s">
        <v>139</v>
      </c>
      <c r="O3" s="245" t="s">
        <v>30</v>
      </c>
      <c r="P3" s="245" t="s">
        <v>9</v>
      </c>
      <c r="Q3" s="245"/>
      <c r="R3" s="245"/>
    </row>
    <row r="4" spans="1:22" ht="111" customHeight="1" thickBot="1">
      <c r="A4" s="247"/>
      <c r="B4" s="249"/>
      <c r="C4" s="245"/>
      <c r="D4" s="245"/>
      <c r="E4" s="245"/>
      <c r="F4" s="245"/>
      <c r="G4" s="245"/>
      <c r="H4" s="210" t="s">
        <v>140</v>
      </c>
      <c r="I4" s="171" t="s">
        <v>10</v>
      </c>
      <c r="J4" s="171" t="s">
        <v>29</v>
      </c>
      <c r="K4" s="173" t="s">
        <v>140</v>
      </c>
      <c r="L4" s="171" t="s">
        <v>30</v>
      </c>
      <c r="M4" s="245"/>
      <c r="N4" s="245"/>
      <c r="O4" s="245"/>
      <c r="P4" s="121" t="s">
        <v>122</v>
      </c>
      <c r="Q4" s="121" t="s">
        <v>129</v>
      </c>
      <c r="R4" s="121" t="s">
        <v>132</v>
      </c>
      <c r="S4" s="1"/>
      <c r="T4" s="1"/>
      <c r="U4" s="2"/>
    </row>
    <row r="5" spans="1:22" ht="21.75" customHeight="1">
      <c r="A5" s="50" t="s">
        <v>21</v>
      </c>
      <c r="B5" s="51"/>
      <c r="C5" s="174">
        <f t="shared" ref="C5:H5" si="0">C6+C17+C19+C24+C12</f>
        <v>11040.4</v>
      </c>
      <c r="D5" s="174">
        <f t="shared" si="0"/>
        <v>0</v>
      </c>
      <c r="E5" s="174">
        <f t="shared" si="0"/>
        <v>11040.4</v>
      </c>
      <c r="F5" s="174">
        <f t="shared" si="0"/>
        <v>0</v>
      </c>
      <c r="G5" s="174">
        <f t="shared" si="0"/>
        <v>10502.599999999999</v>
      </c>
      <c r="H5" s="174">
        <f t="shared" si="0"/>
        <v>12126.3</v>
      </c>
      <c r="I5" s="221">
        <f>IF(E5&gt;0,H5/E5,0)</f>
        <v>1.0983569435890004</v>
      </c>
      <c r="J5" s="175">
        <f>IF(F5&gt;0,H5/F5,0)</f>
        <v>0</v>
      </c>
      <c r="K5" s="174">
        <f>K6+K17+K19+K24+K12</f>
        <v>10695.6</v>
      </c>
      <c r="L5" s="89">
        <f t="shared" ref="L5:L51" si="1">IF(K5&gt;0,H5/K5,0)</f>
        <v>1.1337652866599348</v>
      </c>
      <c r="M5" s="174">
        <f>M6+M17+M19+M24+M12</f>
        <v>1623.7</v>
      </c>
      <c r="N5" s="174">
        <f>N6+N17+N19+N24+N12</f>
        <v>1504.9999999999998</v>
      </c>
      <c r="O5" s="89">
        <f t="shared" ref="O5:O23" si="2">IF(N5&gt;0,M5/N5,0)</f>
        <v>1.0788704318936879</v>
      </c>
      <c r="P5" s="174">
        <f>P6+P17+P19+P24+P12</f>
        <v>605.6</v>
      </c>
      <c r="Q5" s="88">
        <f>Q6+Q17+Q19+Q24+Q12</f>
        <v>333.5</v>
      </c>
      <c r="R5" s="174">
        <f>R6+R17+R19+R24+R12</f>
        <v>476.9</v>
      </c>
      <c r="S5" s="4"/>
      <c r="T5" s="4"/>
      <c r="U5" s="4"/>
    </row>
    <row r="6" spans="1:22" ht="18" customHeight="1">
      <c r="A6" s="9" t="s">
        <v>63</v>
      </c>
      <c r="B6" s="52">
        <v>1010200001</v>
      </c>
      <c r="C6" s="176">
        <f t="shared" ref="C6:F6" si="3">C7+C8+C9</f>
        <v>7161.9</v>
      </c>
      <c r="D6" s="176">
        <f t="shared" si="3"/>
        <v>0</v>
      </c>
      <c r="E6" s="176">
        <f>E7+E8+E9+E10+E11</f>
        <v>7161.9</v>
      </c>
      <c r="F6" s="176">
        <f t="shared" si="3"/>
        <v>0</v>
      </c>
      <c r="G6" s="176">
        <f>G7+G8+G9+G10+G11</f>
        <v>7075.7</v>
      </c>
      <c r="H6" s="176">
        <f>H7+H8+H9+H10+H11</f>
        <v>8347</v>
      </c>
      <c r="I6" s="222">
        <f t="shared" ref="I6:I51" si="4">IF(E6&gt;0,H6/E6,0)</f>
        <v>1.1654728493835436</v>
      </c>
      <c r="J6" s="177">
        <f>IF(F6&gt;0,H6/F6,0)</f>
        <v>0</v>
      </c>
      <c r="K6" s="176">
        <f>K7+K8+K9+K10+K11</f>
        <v>7057</v>
      </c>
      <c r="L6" s="86">
        <f t="shared" si="1"/>
        <v>1.1827972226158425</v>
      </c>
      <c r="M6" s="176">
        <f>M7+M8+M9+M10+M11</f>
        <v>1271.3</v>
      </c>
      <c r="N6" s="176">
        <f>N7+N8+N9+N10+N11</f>
        <v>1113.1999999999998</v>
      </c>
      <c r="O6" s="86">
        <f t="shared" si="2"/>
        <v>1.14202299676608</v>
      </c>
      <c r="P6" s="176">
        <f>SUM(P7:P11)</f>
        <v>145.89999999999998</v>
      </c>
      <c r="Q6" s="176">
        <f t="shared" ref="Q6:R6" si="5">SUM(Q7:Q11)</f>
        <v>119.69999999999999</v>
      </c>
      <c r="R6" s="176">
        <f t="shared" si="5"/>
        <v>120.4</v>
      </c>
      <c r="V6" s="148"/>
    </row>
    <row r="7" spans="1:22" ht="18">
      <c r="A7" s="10" t="s">
        <v>44</v>
      </c>
      <c r="B7" s="13">
        <v>1010201001</v>
      </c>
      <c r="C7" s="178">
        <v>6975.9</v>
      </c>
      <c r="D7" s="178"/>
      <c r="E7" s="178">
        <f>C7+D7</f>
        <v>6975.9</v>
      </c>
      <c r="F7" s="178"/>
      <c r="G7" s="178">
        <v>6881</v>
      </c>
      <c r="H7" s="178">
        <f>G7+M7</f>
        <v>8133.7</v>
      </c>
      <c r="I7" s="223">
        <f t="shared" si="4"/>
        <v>1.1659714158746541</v>
      </c>
      <c r="J7" s="179">
        <f t="shared" ref="J7:J51" si="6">IF(F7&gt;0,H7/F7,0)</f>
        <v>0</v>
      </c>
      <c r="K7" s="178">
        <v>6866</v>
      </c>
      <c r="L7" s="76">
        <f t="shared" si="1"/>
        <v>1.1846344305272356</v>
      </c>
      <c r="M7" s="178">
        <v>1252.7</v>
      </c>
      <c r="N7" s="67">
        <v>1111.0999999999999</v>
      </c>
      <c r="O7" s="76">
        <f t="shared" si="2"/>
        <v>1.1274412744127442</v>
      </c>
      <c r="P7" s="178">
        <v>128.69999999999999</v>
      </c>
      <c r="Q7" s="178">
        <v>78.8</v>
      </c>
      <c r="R7" s="178">
        <v>86.7</v>
      </c>
      <c r="V7" s="148"/>
    </row>
    <row r="8" spans="1:22" ht="18">
      <c r="A8" s="10" t="s">
        <v>43</v>
      </c>
      <c r="B8" s="13">
        <v>1010202001</v>
      </c>
      <c r="C8" s="178">
        <v>57</v>
      </c>
      <c r="D8" s="178"/>
      <c r="E8" s="178">
        <f>C8+D8</f>
        <v>57</v>
      </c>
      <c r="F8" s="178"/>
      <c r="G8" s="178">
        <v>74</v>
      </c>
      <c r="H8" s="178">
        <f>G8+M8</f>
        <v>74</v>
      </c>
      <c r="I8" s="223">
        <f t="shared" si="4"/>
        <v>1.2982456140350878</v>
      </c>
      <c r="J8" s="179">
        <f t="shared" si="6"/>
        <v>0</v>
      </c>
      <c r="K8" s="178">
        <v>74.3</v>
      </c>
      <c r="L8" s="76">
        <f t="shared" si="1"/>
        <v>0.99596231493943477</v>
      </c>
      <c r="M8" s="178"/>
      <c r="N8" s="70"/>
      <c r="O8" s="76">
        <f>IF(N8&gt;0,M8/N8,0)</f>
        <v>0</v>
      </c>
      <c r="P8" s="178"/>
      <c r="Q8" s="178"/>
      <c r="R8" s="178"/>
      <c r="V8" s="148"/>
    </row>
    <row r="9" spans="1:22" ht="18">
      <c r="A9" s="10" t="s">
        <v>42</v>
      </c>
      <c r="B9" s="13">
        <v>1010203001</v>
      </c>
      <c r="C9" s="178">
        <v>129</v>
      </c>
      <c r="D9" s="178"/>
      <c r="E9" s="178">
        <f>C9+D9</f>
        <v>129</v>
      </c>
      <c r="F9" s="178"/>
      <c r="G9" s="178">
        <v>72.2</v>
      </c>
      <c r="H9" s="178">
        <f>G9+M9</f>
        <v>83.3</v>
      </c>
      <c r="I9" s="223">
        <f t="shared" si="4"/>
        <v>0.6457364341085271</v>
      </c>
      <c r="J9" s="179">
        <f t="shared" si="6"/>
        <v>0</v>
      </c>
      <c r="K9" s="178">
        <v>114.3</v>
      </c>
      <c r="L9" s="76">
        <f t="shared" si="1"/>
        <v>0.72878390201224841</v>
      </c>
      <c r="M9" s="178">
        <v>11.1</v>
      </c>
      <c r="N9" s="70">
        <v>1.3</v>
      </c>
      <c r="O9" s="76">
        <f t="shared" si="2"/>
        <v>8.5384615384615383</v>
      </c>
      <c r="P9" s="178">
        <v>11.5</v>
      </c>
      <c r="Q9" s="178">
        <v>40.9</v>
      </c>
      <c r="R9" s="178">
        <v>33.700000000000003</v>
      </c>
      <c r="V9" s="148"/>
    </row>
    <row r="10" spans="1:22" ht="18">
      <c r="A10" s="40" t="s">
        <v>118</v>
      </c>
      <c r="B10" s="164">
        <v>1010208001</v>
      </c>
      <c r="C10" s="178"/>
      <c r="D10" s="178"/>
      <c r="E10" s="178">
        <f>C10+D10</f>
        <v>0</v>
      </c>
      <c r="F10" s="178"/>
      <c r="G10" s="178"/>
      <c r="H10" s="178">
        <f>G10+M10</f>
        <v>0</v>
      </c>
      <c r="I10" s="223">
        <f t="shared" ref="I10" si="7">IF(E10&gt;0,H10/E10,0)</f>
        <v>0</v>
      </c>
      <c r="J10" s="179"/>
      <c r="K10" s="178">
        <v>1.5</v>
      </c>
      <c r="L10" s="76">
        <f t="shared" si="1"/>
        <v>0</v>
      </c>
      <c r="M10" s="178"/>
      <c r="N10" s="70"/>
      <c r="O10" s="76">
        <f t="shared" si="2"/>
        <v>0</v>
      </c>
      <c r="P10" s="178"/>
      <c r="Q10" s="178"/>
      <c r="R10" s="178"/>
      <c r="V10" s="148"/>
    </row>
    <row r="11" spans="1:22" ht="31.5">
      <c r="A11" s="40" t="s">
        <v>121</v>
      </c>
      <c r="B11" s="164">
        <v>1010213001</v>
      </c>
      <c r="C11" s="178"/>
      <c r="D11" s="178"/>
      <c r="E11" s="178">
        <f>C11+D11</f>
        <v>0</v>
      </c>
      <c r="F11" s="178"/>
      <c r="G11" s="178">
        <v>48.5</v>
      </c>
      <c r="H11" s="178">
        <f>G11+M11</f>
        <v>56</v>
      </c>
      <c r="I11" s="223">
        <f t="shared" ref="I11" si="8">IF(E11&gt;0,H11/E11,0)</f>
        <v>0</v>
      </c>
      <c r="J11" s="179"/>
      <c r="K11" s="178">
        <v>0.9</v>
      </c>
      <c r="L11" s="76">
        <f t="shared" si="1"/>
        <v>62.222222222222221</v>
      </c>
      <c r="M11" s="178">
        <v>7.5</v>
      </c>
      <c r="N11" s="70">
        <v>0.8</v>
      </c>
      <c r="O11" s="76"/>
      <c r="P11" s="178">
        <v>5.7</v>
      </c>
      <c r="Q11" s="178"/>
      <c r="R11" s="178"/>
      <c r="V11" s="148"/>
    </row>
    <row r="12" spans="1:22" ht="20.25" customHeight="1">
      <c r="A12" s="11" t="s">
        <v>48</v>
      </c>
      <c r="B12" s="19">
        <v>1030200001</v>
      </c>
      <c r="C12" s="176">
        <f t="shared" ref="C12:H12" si="9">SUM(C13:C16)</f>
        <v>1785.9999999999998</v>
      </c>
      <c r="D12" s="176">
        <f t="shared" si="9"/>
        <v>0</v>
      </c>
      <c r="E12" s="176">
        <f t="shared" si="9"/>
        <v>1785.9999999999998</v>
      </c>
      <c r="F12" s="176">
        <f t="shared" si="9"/>
        <v>0</v>
      </c>
      <c r="G12" s="176">
        <f>G13+G14+G15+G16</f>
        <v>1754.3</v>
      </c>
      <c r="H12" s="176">
        <f t="shared" si="9"/>
        <v>1915.8</v>
      </c>
      <c r="I12" s="222">
        <f>IF(E12&gt;0,H12/E12,0)</f>
        <v>1.0726763717805152</v>
      </c>
      <c r="J12" s="177">
        <f>IF(F12&gt;0,H12/F12,0)</f>
        <v>0</v>
      </c>
      <c r="K12" s="176">
        <f>K13+K14+K15+K16</f>
        <v>1803.3999999999999</v>
      </c>
      <c r="L12" s="86">
        <f t="shared" si="1"/>
        <v>1.0623267162027283</v>
      </c>
      <c r="M12" s="176">
        <f>M13+M14+M15+M16</f>
        <v>161.5</v>
      </c>
      <c r="N12" s="176">
        <f>N13+N14+N15+N16</f>
        <v>174.70000000000002</v>
      </c>
      <c r="O12" s="86">
        <f t="shared" si="2"/>
        <v>0.92444190040068686</v>
      </c>
      <c r="P12" s="176">
        <f>SUM(P13:P16)</f>
        <v>0</v>
      </c>
      <c r="Q12" s="71">
        <f>SUM(Q13:Q16)</f>
        <v>0</v>
      </c>
      <c r="R12" s="176">
        <f>SUM(R13:R16)</f>
        <v>0</v>
      </c>
      <c r="V12" s="148"/>
    </row>
    <row r="13" spans="1:22" ht="18.75" customHeight="1">
      <c r="A13" s="12" t="s">
        <v>49</v>
      </c>
      <c r="B13" s="12">
        <v>1030223101</v>
      </c>
      <c r="C13" s="178">
        <v>931.5</v>
      </c>
      <c r="D13" s="178"/>
      <c r="E13" s="180">
        <f>C13+D13</f>
        <v>931.5</v>
      </c>
      <c r="F13" s="180"/>
      <c r="G13" s="178">
        <v>909.1</v>
      </c>
      <c r="H13" s="180">
        <f>G13+M13</f>
        <v>989.80000000000007</v>
      </c>
      <c r="I13" s="224">
        <f>IF(E13&gt;0,H13/E13,0)</f>
        <v>1.0625872249060655</v>
      </c>
      <c r="J13" s="181">
        <f>IF(F13&gt;0,H13/F13,0)</f>
        <v>0</v>
      </c>
      <c r="K13" s="178">
        <v>934.4</v>
      </c>
      <c r="L13" s="69">
        <f t="shared" si="1"/>
        <v>1.0592893835616439</v>
      </c>
      <c r="M13" s="178">
        <v>80.7</v>
      </c>
      <c r="N13" s="70">
        <v>94.3</v>
      </c>
      <c r="O13" s="69">
        <f t="shared" si="2"/>
        <v>0.85577942735949108</v>
      </c>
      <c r="P13" s="178"/>
      <c r="Q13" s="70"/>
      <c r="R13" s="178"/>
      <c r="V13" s="148"/>
    </row>
    <row r="14" spans="1:22" ht="18" customHeight="1">
      <c r="A14" s="12" t="s">
        <v>50</v>
      </c>
      <c r="B14" s="12">
        <v>1030224101</v>
      </c>
      <c r="C14" s="178">
        <v>4.4000000000000004</v>
      </c>
      <c r="D14" s="178"/>
      <c r="E14" s="180">
        <f>C14+D14</f>
        <v>4.4000000000000004</v>
      </c>
      <c r="F14" s="180"/>
      <c r="G14" s="178">
        <v>5.2</v>
      </c>
      <c r="H14" s="180">
        <f>G14+M14</f>
        <v>5.7</v>
      </c>
      <c r="I14" s="224">
        <f>IF(E14&gt;0,H14/E14,0)</f>
        <v>1.2954545454545454</v>
      </c>
      <c r="J14" s="181">
        <f>IF(F14&gt;0,H14/F14,0)</f>
        <v>0</v>
      </c>
      <c r="K14" s="178">
        <v>4.9000000000000004</v>
      </c>
      <c r="L14" s="69">
        <f t="shared" si="1"/>
        <v>1.1632653061224489</v>
      </c>
      <c r="M14" s="178">
        <v>0.5</v>
      </c>
      <c r="N14" s="70">
        <v>0.4</v>
      </c>
      <c r="O14" s="69">
        <f t="shared" si="2"/>
        <v>1.25</v>
      </c>
      <c r="P14" s="178"/>
      <c r="Q14" s="70"/>
      <c r="R14" s="178"/>
      <c r="V14" s="148"/>
    </row>
    <row r="15" spans="1:22" ht="18.75" customHeight="1">
      <c r="A15" s="12" t="s">
        <v>51</v>
      </c>
      <c r="B15" s="12">
        <v>1030225101</v>
      </c>
      <c r="C15" s="178">
        <v>965.8</v>
      </c>
      <c r="D15" s="178"/>
      <c r="E15" s="180">
        <f>C15+D15</f>
        <v>965.8</v>
      </c>
      <c r="F15" s="180"/>
      <c r="G15" s="178">
        <v>940.7</v>
      </c>
      <c r="H15" s="180">
        <f>G15+M15</f>
        <v>1028</v>
      </c>
      <c r="I15" s="224">
        <f>IF(E15&gt;0,H15/E15,0)</f>
        <v>1.0644025678194244</v>
      </c>
      <c r="J15" s="181">
        <f>IF(F15&gt;0,H15/F15,0)</f>
        <v>0</v>
      </c>
      <c r="K15" s="178">
        <v>965.8</v>
      </c>
      <c r="L15" s="69">
        <f t="shared" si="1"/>
        <v>1.0644025678194244</v>
      </c>
      <c r="M15" s="178">
        <v>87.3</v>
      </c>
      <c r="N15" s="70">
        <v>88.4</v>
      </c>
      <c r="O15" s="69">
        <f t="shared" si="2"/>
        <v>0.98755656108597278</v>
      </c>
      <c r="P15" s="178"/>
      <c r="Q15" s="70"/>
      <c r="R15" s="178"/>
      <c r="V15" s="148"/>
    </row>
    <row r="16" spans="1:22" ht="18" customHeight="1">
      <c r="A16" s="12" t="s">
        <v>52</v>
      </c>
      <c r="B16" s="12">
        <v>1030226101</v>
      </c>
      <c r="C16" s="178">
        <v>-115.7</v>
      </c>
      <c r="D16" s="178"/>
      <c r="E16" s="180">
        <f>C16+D16</f>
        <v>-115.7</v>
      </c>
      <c r="F16" s="180"/>
      <c r="G16" s="178">
        <v>-100.7</v>
      </c>
      <c r="H16" s="180">
        <f>G16+M16</f>
        <v>-107.7</v>
      </c>
      <c r="I16" s="224">
        <f>H16/E16</f>
        <v>0.93085566119273988</v>
      </c>
      <c r="J16" s="181">
        <f>IF(F16&gt;0,H16/F16,0)</f>
        <v>0</v>
      </c>
      <c r="K16" s="178">
        <v>-101.7</v>
      </c>
      <c r="L16" s="69">
        <f t="shared" si="1"/>
        <v>0</v>
      </c>
      <c r="M16" s="178">
        <v>-7</v>
      </c>
      <c r="N16" s="70">
        <v>-8.4</v>
      </c>
      <c r="O16" s="69">
        <f t="shared" si="2"/>
        <v>0</v>
      </c>
      <c r="P16" s="178"/>
      <c r="Q16" s="70"/>
      <c r="R16" s="178"/>
      <c r="V16" s="148"/>
    </row>
    <row r="17" spans="1:22" ht="18">
      <c r="A17" s="9" t="s">
        <v>70</v>
      </c>
      <c r="B17" s="30">
        <v>1050000000</v>
      </c>
      <c r="C17" s="176">
        <f t="shared" ref="C17:H17" si="10">C18</f>
        <v>22.5</v>
      </c>
      <c r="D17" s="176">
        <f t="shared" si="10"/>
        <v>0</v>
      </c>
      <c r="E17" s="176">
        <f t="shared" si="10"/>
        <v>22.5</v>
      </c>
      <c r="F17" s="176">
        <f t="shared" si="10"/>
        <v>0</v>
      </c>
      <c r="G17" s="176">
        <f>G18</f>
        <v>10</v>
      </c>
      <c r="H17" s="176">
        <f t="shared" si="10"/>
        <v>10.199999999999999</v>
      </c>
      <c r="I17" s="225">
        <f t="shared" si="4"/>
        <v>0.45333333333333331</v>
      </c>
      <c r="J17" s="182">
        <f t="shared" si="6"/>
        <v>0</v>
      </c>
      <c r="K17" s="176">
        <f>K18</f>
        <v>-146.30000000000001</v>
      </c>
      <c r="L17" s="65">
        <f t="shared" si="1"/>
        <v>0</v>
      </c>
      <c r="M17" s="176">
        <f>M18</f>
        <v>0.2</v>
      </c>
      <c r="N17" s="176">
        <f>N18</f>
        <v>0</v>
      </c>
      <c r="O17" s="65">
        <f t="shared" si="2"/>
        <v>0</v>
      </c>
      <c r="P17" s="176">
        <f>P18</f>
        <v>0</v>
      </c>
      <c r="Q17" s="71">
        <f>Q18</f>
        <v>0.2</v>
      </c>
      <c r="R17" s="176">
        <f>R18</f>
        <v>0</v>
      </c>
      <c r="V17" s="148"/>
    </row>
    <row r="18" spans="1:22" ht="18">
      <c r="A18" s="13" t="s">
        <v>7</v>
      </c>
      <c r="B18" s="13">
        <v>1050300001</v>
      </c>
      <c r="C18" s="178">
        <v>22.5</v>
      </c>
      <c r="D18" s="178"/>
      <c r="E18" s="180">
        <f>C18+D18</f>
        <v>22.5</v>
      </c>
      <c r="F18" s="180"/>
      <c r="G18" s="178">
        <v>10</v>
      </c>
      <c r="H18" s="180">
        <f>G18+M18</f>
        <v>10.199999999999999</v>
      </c>
      <c r="I18" s="224">
        <f t="shared" si="4"/>
        <v>0.45333333333333331</v>
      </c>
      <c r="J18" s="181">
        <f t="shared" si="6"/>
        <v>0</v>
      </c>
      <c r="K18" s="178">
        <v>-146.30000000000001</v>
      </c>
      <c r="L18" s="69">
        <f t="shared" si="1"/>
        <v>0</v>
      </c>
      <c r="M18" s="178">
        <v>0.2</v>
      </c>
      <c r="N18" s="178"/>
      <c r="O18" s="69">
        <f t="shared" si="2"/>
        <v>0</v>
      </c>
      <c r="P18" s="178"/>
      <c r="Q18" s="178">
        <v>0.2</v>
      </c>
      <c r="R18" s="178"/>
      <c r="V18" s="148"/>
    </row>
    <row r="19" spans="1:22" ht="18">
      <c r="A19" s="9" t="s">
        <v>71</v>
      </c>
      <c r="B19" s="30">
        <v>1060000000</v>
      </c>
      <c r="C19" s="176">
        <f t="shared" ref="C19:H19" si="11">C20+C23</f>
        <v>2070</v>
      </c>
      <c r="D19" s="176">
        <f t="shared" si="11"/>
        <v>0</v>
      </c>
      <c r="E19" s="176">
        <f t="shared" si="11"/>
        <v>2070</v>
      </c>
      <c r="F19" s="176">
        <f t="shared" si="11"/>
        <v>0</v>
      </c>
      <c r="G19" s="176">
        <f>G20+G23</f>
        <v>1662.6000000000001</v>
      </c>
      <c r="H19" s="176">
        <f t="shared" si="11"/>
        <v>1853.3000000000002</v>
      </c>
      <c r="I19" s="225">
        <f t="shared" si="4"/>
        <v>0.89531400966183583</v>
      </c>
      <c r="J19" s="182">
        <f t="shared" si="6"/>
        <v>0</v>
      </c>
      <c r="K19" s="176">
        <f>K20+K23</f>
        <v>1981.5</v>
      </c>
      <c r="L19" s="65">
        <f t="shared" si="1"/>
        <v>0.93530153923795112</v>
      </c>
      <c r="M19" s="176">
        <f>M20+M23</f>
        <v>190.70000000000002</v>
      </c>
      <c r="N19" s="176">
        <f>N20+N23</f>
        <v>217.10000000000002</v>
      </c>
      <c r="O19" s="65">
        <f t="shared" si="2"/>
        <v>0.87839705204974661</v>
      </c>
      <c r="P19" s="176">
        <f>P20+P23</f>
        <v>459.70000000000005</v>
      </c>
      <c r="Q19" s="71">
        <f>Q20+Q23</f>
        <v>213.6</v>
      </c>
      <c r="R19" s="176">
        <f>R20+R23</f>
        <v>356.5</v>
      </c>
      <c r="V19" s="148"/>
    </row>
    <row r="20" spans="1:22" ht="18">
      <c r="A20" s="13" t="s">
        <v>13</v>
      </c>
      <c r="B20" s="13">
        <v>1060600000</v>
      </c>
      <c r="C20" s="178">
        <f>C21+C22</f>
        <v>1063</v>
      </c>
      <c r="D20" s="178"/>
      <c r="E20" s="178">
        <f t="shared" ref="E20:H20" si="12">E21+E22</f>
        <v>1063</v>
      </c>
      <c r="F20" s="178">
        <f t="shared" si="12"/>
        <v>0</v>
      </c>
      <c r="G20" s="178">
        <f t="shared" si="12"/>
        <v>795.90000000000009</v>
      </c>
      <c r="H20" s="178">
        <f t="shared" si="12"/>
        <v>861.7</v>
      </c>
      <c r="I20" s="224">
        <f t="shared" si="4"/>
        <v>0.81063029162746947</v>
      </c>
      <c r="J20" s="181">
        <f t="shared" si="6"/>
        <v>0</v>
      </c>
      <c r="K20" s="178">
        <f>SUM(K21:K22)</f>
        <v>988.7</v>
      </c>
      <c r="L20" s="69">
        <f t="shared" si="1"/>
        <v>0.87154849802771317</v>
      </c>
      <c r="M20" s="70">
        <f>M21+M22</f>
        <v>65.800000000000011</v>
      </c>
      <c r="N20" s="70">
        <f>N21+N22</f>
        <v>69.2</v>
      </c>
      <c r="O20" s="69">
        <f t="shared" si="2"/>
        <v>0.9508670520231215</v>
      </c>
      <c r="P20" s="178">
        <f>P21+P22</f>
        <v>196.4</v>
      </c>
      <c r="Q20" s="178">
        <f>Q21+Q22</f>
        <v>80</v>
      </c>
      <c r="R20" s="178">
        <f>R21+R22</f>
        <v>108</v>
      </c>
      <c r="V20" s="148"/>
    </row>
    <row r="21" spans="1:22" ht="18">
      <c r="A21" s="13" t="s">
        <v>100</v>
      </c>
      <c r="B21" s="13">
        <v>1060603313</v>
      </c>
      <c r="C21" s="178">
        <v>575</v>
      </c>
      <c r="D21" s="178"/>
      <c r="E21" s="180">
        <f>C21+D21</f>
        <v>575</v>
      </c>
      <c r="F21" s="180"/>
      <c r="G21" s="178">
        <v>461.6</v>
      </c>
      <c r="H21" s="180">
        <f>G21+M21</f>
        <v>462</v>
      </c>
      <c r="I21" s="224">
        <f t="shared" si="4"/>
        <v>0.8034782608695652</v>
      </c>
      <c r="J21" s="181">
        <f t="shared" si="6"/>
        <v>0</v>
      </c>
      <c r="K21" s="178">
        <v>529.4</v>
      </c>
      <c r="L21" s="69">
        <f t="shared" si="1"/>
        <v>0.8726860596902154</v>
      </c>
      <c r="M21" s="178">
        <v>0.4</v>
      </c>
      <c r="N21" s="70">
        <v>2.2000000000000002</v>
      </c>
      <c r="O21" s="69">
        <f t="shared" si="2"/>
        <v>0.18181818181818182</v>
      </c>
      <c r="P21" s="178">
        <v>55.6</v>
      </c>
      <c r="Q21" s="178">
        <v>3.9</v>
      </c>
      <c r="R21" s="178">
        <v>3.9</v>
      </c>
      <c r="V21" s="148"/>
    </row>
    <row r="22" spans="1:22" ht="18">
      <c r="A22" s="13" t="s">
        <v>101</v>
      </c>
      <c r="B22" s="13">
        <v>1060604313</v>
      </c>
      <c r="C22" s="178">
        <v>488</v>
      </c>
      <c r="D22" s="178"/>
      <c r="E22" s="180">
        <f>C22+D22</f>
        <v>488</v>
      </c>
      <c r="F22" s="180"/>
      <c r="G22" s="178">
        <v>334.3</v>
      </c>
      <c r="H22" s="180">
        <f>G22+M22</f>
        <v>399.70000000000005</v>
      </c>
      <c r="I22" s="224">
        <f t="shared" si="4"/>
        <v>0.81905737704918047</v>
      </c>
      <c r="J22" s="181">
        <f t="shared" si="6"/>
        <v>0</v>
      </c>
      <c r="K22" s="178">
        <v>459.3</v>
      </c>
      <c r="L22" s="69">
        <f t="shared" si="1"/>
        <v>0.87023731765730472</v>
      </c>
      <c r="M22" s="178">
        <v>65.400000000000006</v>
      </c>
      <c r="N22" s="70">
        <v>67</v>
      </c>
      <c r="O22" s="69">
        <f t="shared" si="2"/>
        <v>0.97611940298507471</v>
      </c>
      <c r="P22" s="178">
        <v>140.80000000000001</v>
      </c>
      <c r="Q22" s="178">
        <v>76.099999999999994</v>
      </c>
      <c r="R22" s="178">
        <v>104.1</v>
      </c>
      <c r="V22" s="148"/>
    </row>
    <row r="23" spans="1:22" ht="18">
      <c r="A23" s="13" t="s">
        <v>12</v>
      </c>
      <c r="B23" s="13">
        <v>1060103013</v>
      </c>
      <c r="C23" s="178">
        <v>1007</v>
      </c>
      <c r="D23" s="178"/>
      <c r="E23" s="180">
        <f>C23+D23</f>
        <v>1007</v>
      </c>
      <c r="F23" s="180"/>
      <c r="G23" s="178">
        <v>866.7</v>
      </c>
      <c r="H23" s="180">
        <f>G23+M23</f>
        <v>991.6</v>
      </c>
      <c r="I23" s="224">
        <f t="shared" si="4"/>
        <v>0.9847070506454817</v>
      </c>
      <c r="J23" s="181">
        <f t="shared" si="6"/>
        <v>0</v>
      </c>
      <c r="K23" s="178">
        <v>992.8</v>
      </c>
      <c r="L23" s="69">
        <f t="shared" si="1"/>
        <v>0.99879129734085426</v>
      </c>
      <c r="M23" s="178">
        <v>124.9</v>
      </c>
      <c r="N23" s="70">
        <v>147.9</v>
      </c>
      <c r="O23" s="69">
        <f t="shared" si="2"/>
        <v>0.84448951994590937</v>
      </c>
      <c r="P23" s="178">
        <v>263.3</v>
      </c>
      <c r="Q23" s="178">
        <v>133.6</v>
      </c>
      <c r="R23" s="178">
        <v>248.5</v>
      </c>
      <c r="V23" s="148"/>
    </row>
    <row r="24" spans="1:22" ht="1.5" customHeight="1">
      <c r="A24" s="9" t="s">
        <v>73</v>
      </c>
      <c r="B24" s="30">
        <v>1090405010</v>
      </c>
      <c r="C24" s="176"/>
      <c r="D24" s="176"/>
      <c r="E24" s="183">
        <f>C24+D24</f>
        <v>0</v>
      </c>
      <c r="F24" s="183"/>
      <c r="G24" s="176"/>
      <c r="H24" s="183">
        <f>G24+M24</f>
        <v>0</v>
      </c>
      <c r="I24" s="225">
        <f t="shared" si="4"/>
        <v>0</v>
      </c>
      <c r="J24" s="182">
        <f t="shared" si="6"/>
        <v>0</v>
      </c>
      <c r="K24" s="176"/>
      <c r="L24" s="65">
        <f t="shared" si="1"/>
        <v>0</v>
      </c>
      <c r="M24" s="176"/>
      <c r="N24" s="176"/>
      <c r="O24" s="65">
        <f t="shared" ref="O24:O39" si="13">IF(N24&gt;0,M24/N24,0)</f>
        <v>0</v>
      </c>
      <c r="P24" s="176"/>
      <c r="Q24" s="71"/>
      <c r="R24" s="176"/>
      <c r="V24" s="148"/>
    </row>
    <row r="25" spans="1:22" ht="18">
      <c r="A25" s="14" t="s">
        <v>22</v>
      </c>
      <c r="B25" s="32"/>
      <c r="C25" s="184">
        <f>C26+C32+C35+C39+C40</f>
        <v>2823.5</v>
      </c>
      <c r="D25" s="184">
        <f>D26+D32+D35+D39+D40</f>
        <v>1149.0609999999999</v>
      </c>
      <c r="E25" s="236">
        <f>E26+E34+E37+E40+E39+E36+E33+E38</f>
        <v>4762.4940000000006</v>
      </c>
      <c r="F25" s="184">
        <f>F26+F34+F37+F40+F39+F36+F33+F38</f>
        <v>0</v>
      </c>
      <c r="G25" s="184">
        <f>G26+G32+G35+G39+G40</f>
        <v>4954.5</v>
      </c>
      <c r="H25" s="184">
        <f>H26+H34+H37+H40+H39+H36+H33+H38</f>
        <v>5429.8</v>
      </c>
      <c r="I25" s="226">
        <f t="shared" si="4"/>
        <v>1.1401169219320799</v>
      </c>
      <c r="J25" s="185">
        <f t="shared" si="6"/>
        <v>0</v>
      </c>
      <c r="K25" s="184">
        <f>K26+K32+K35+K39+K40</f>
        <v>2444.7999999999997</v>
      </c>
      <c r="L25" s="63">
        <f t="shared" si="1"/>
        <v>2.220958769633508</v>
      </c>
      <c r="M25" s="184">
        <f>M26+M32+M35+M39+M40</f>
        <v>475.29999999999995</v>
      </c>
      <c r="N25" s="184">
        <f>N26+N32+N35+N39+N40</f>
        <v>250</v>
      </c>
      <c r="O25" s="63">
        <f t="shared" si="13"/>
        <v>1.9011999999999998</v>
      </c>
      <c r="P25" s="184">
        <f>P26+P33+P36+P39+P38+P35</f>
        <v>502</v>
      </c>
      <c r="Q25" s="75">
        <f>Q26+Q33+Q36+Q39+Q38+Q35</f>
        <v>183.1</v>
      </c>
      <c r="R25" s="184">
        <f>R26+R33+R36+R39+R38+R35</f>
        <v>297.2</v>
      </c>
      <c r="V25" s="148"/>
    </row>
    <row r="26" spans="1:22" ht="18">
      <c r="A26" s="9" t="s">
        <v>74</v>
      </c>
      <c r="B26" s="30">
        <v>1110000000</v>
      </c>
      <c r="C26" s="176">
        <f t="shared" ref="C26:H26" si="14">C27+C30+C31+C28+C29</f>
        <v>1983</v>
      </c>
      <c r="D26" s="176">
        <f t="shared" si="14"/>
        <v>263</v>
      </c>
      <c r="E26" s="176">
        <f t="shared" si="14"/>
        <v>2246</v>
      </c>
      <c r="F26" s="176">
        <f t="shared" si="14"/>
        <v>0</v>
      </c>
      <c r="G26" s="176">
        <f>G27+G30+G31+G28+G29</f>
        <v>2435.4</v>
      </c>
      <c r="H26" s="176">
        <f t="shared" si="14"/>
        <v>2639.3</v>
      </c>
      <c r="I26" s="225">
        <f t="shared" si="4"/>
        <v>1.1751113089937668</v>
      </c>
      <c r="J26" s="182">
        <f t="shared" si="6"/>
        <v>0</v>
      </c>
      <c r="K26" s="176">
        <f>K27+K30+K31+K28+K29</f>
        <v>2163.3000000000002</v>
      </c>
      <c r="L26" s="65">
        <f t="shared" si="1"/>
        <v>1.220034206998567</v>
      </c>
      <c r="M26" s="176">
        <f>M27+M30+M31+M28+M29</f>
        <v>203.89999999999998</v>
      </c>
      <c r="N26" s="176">
        <f>N27+N30+N31+N28+N29</f>
        <v>244</v>
      </c>
      <c r="O26" s="65">
        <f t="shared" si="13"/>
        <v>0.83565573770491797</v>
      </c>
      <c r="P26" s="176">
        <f>P27+P29+P30</f>
        <v>502</v>
      </c>
      <c r="Q26" s="71">
        <f>Q27+Q29+Q30</f>
        <v>183.1</v>
      </c>
      <c r="R26" s="176">
        <f>R27+R29+R30</f>
        <v>297.2</v>
      </c>
      <c r="V26" s="148"/>
    </row>
    <row r="27" spans="1:22" ht="18.75">
      <c r="A27" s="53" t="s">
        <v>97</v>
      </c>
      <c r="B27" s="13">
        <v>1110501313</v>
      </c>
      <c r="C27" s="178">
        <v>960</v>
      </c>
      <c r="D27" s="178">
        <f>150-5+180</f>
        <v>325</v>
      </c>
      <c r="E27" s="180">
        <f t="shared" ref="E27:E36" si="15">C27+D27</f>
        <v>1285</v>
      </c>
      <c r="F27" s="180"/>
      <c r="G27" s="178">
        <v>1440.9</v>
      </c>
      <c r="H27" s="180">
        <f t="shared" ref="H27:H39" si="16">G27+M27</f>
        <v>1544.9</v>
      </c>
      <c r="I27" s="224">
        <f t="shared" si="4"/>
        <v>1.2022568093385215</v>
      </c>
      <c r="J27" s="181">
        <f t="shared" si="6"/>
        <v>0</v>
      </c>
      <c r="K27" s="178">
        <v>1214.3</v>
      </c>
      <c r="L27" s="69">
        <f t="shared" si="1"/>
        <v>1.2722556205221116</v>
      </c>
      <c r="M27" s="178">
        <v>104</v>
      </c>
      <c r="N27" s="70">
        <v>154.4</v>
      </c>
      <c r="O27" s="69">
        <f t="shared" si="13"/>
        <v>0.67357512953367871</v>
      </c>
      <c r="P27" s="186">
        <v>502</v>
      </c>
      <c r="Q27" s="186">
        <v>183.1</v>
      </c>
      <c r="R27" s="186">
        <v>297.2</v>
      </c>
      <c r="V27" s="148"/>
    </row>
    <row r="28" spans="1:22" ht="18.75">
      <c r="A28" s="13" t="s">
        <v>98</v>
      </c>
      <c r="B28" s="13">
        <v>1110502513</v>
      </c>
      <c r="C28" s="178">
        <v>27</v>
      </c>
      <c r="D28" s="178"/>
      <c r="E28" s="180">
        <f t="shared" si="15"/>
        <v>27</v>
      </c>
      <c r="F28" s="180"/>
      <c r="G28" s="178">
        <v>29.2</v>
      </c>
      <c r="H28" s="180">
        <f>G28+M28</f>
        <v>48.9</v>
      </c>
      <c r="I28" s="224">
        <f>IF(E28&gt;0,H28/E28,0)</f>
        <v>1.8111111111111111</v>
      </c>
      <c r="J28" s="181"/>
      <c r="K28" s="178">
        <v>45.3</v>
      </c>
      <c r="L28" s="69">
        <f t="shared" si="1"/>
        <v>1.0794701986754967</v>
      </c>
      <c r="M28" s="178">
        <v>19.7</v>
      </c>
      <c r="N28" s="70">
        <v>0.6</v>
      </c>
      <c r="O28" s="69">
        <f t="shared" si="13"/>
        <v>32.833333333333336</v>
      </c>
      <c r="P28" s="186"/>
      <c r="Q28" s="60"/>
      <c r="R28" s="186"/>
      <c r="V28" s="148"/>
    </row>
    <row r="29" spans="1:22" ht="18.75">
      <c r="A29" s="13" t="s">
        <v>110</v>
      </c>
      <c r="B29" s="13">
        <v>1110507513</v>
      </c>
      <c r="C29" s="178">
        <v>477</v>
      </c>
      <c r="D29" s="178">
        <v>-62</v>
      </c>
      <c r="E29" s="180">
        <f t="shared" si="15"/>
        <v>415</v>
      </c>
      <c r="F29" s="180"/>
      <c r="G29" s="178">
        <v>378.1</v>
      </c>
      <c r="H29" s="180">
        <f>G29+M29</f>
        <v>414.6</v>
      </c>
      <c r="I29" s="224">
        <f>IF(E29&gt;0,H29/E29,0)</f>
        <v>0.99903614457831336</v>
      </c>
      <c r="J29" s="181"/>
      <c r="K29" s="178">
        <v>386.6</v>
      </c>
      <c r="L29" s="69"/>
      <c r="M29" s="178">
        <v>36.5</v>
      </c>
      <c r="N29" s="70">
        <v>32.200000000000003</v>
      </c>
      <c r="O29" s="69"/>
      <c r="P29" s="186"/>
      <c r="Q29" s="60"/>
      <c r="R29" s="186"/>
      <c r="V29" s="148"/>
    </row>
    <row r="30" spans="1:22" ht="18">
      <c r="A30" s="13" t="s">
        <v>23</v>
      </c>
      <c r="B30" s="13">
        <v>1110904513</v>
      </c>
      <c r="C30" s="178">
        <v>519</v>
      </c>
      <c r="D30" s="178"/>
      <c r="E30" s="180">
        <f t="shared" si="15"/>
        <v>519</v>
      </c>
      <c r="F30" s="180"/>
      <c r="G30" s="178">
        <v>587.20000000000005</v>
      </c>
      <c r="H30" s="180">
        <f t="shared" si="16"/>
        <v>630.90000000000009</v>
      </c>
      <c r="I30" s="224">
        <f t="shared" si="4"/>
        <v>1.2156069364161852</v>
      </c>
      <c r="J30" s="181">
        <f t="shared" si="6"/>
        <v>0</v>
      </c>
      <c r="K30" s="178">
        <v>517.1</v>
      </c>
      <c r="L30" s="69">
        <f t="shared" si="1"/>
        <v>1.2200734867530461</v>
      </c>
      <c r="M30" s="178">
        <v>43.7</v>
      </c>
      <c r="N30" s="70">
        <v>56.8</v>
      </c>
      <c r="O30" s="69">
        <f t="shared" si="13"/>
        <v>0.76936619718309873</v>
      </c>
      <c r="P30" s="178"/>
      <c r="Q30" s="70"/>
      <c r="R30" s="178"/>
      <c r="V30" s="148"/>
    </row>
    <row r="31" spans="1:22" ht="10.5" hidden="1" customHeight="1">
      <c r="A31" s="31" t="s">
        <v>18</v>
      </c>
      <c r="B31" s="13">
        <v>1110903513</v>
      </c>
      <c r="C31" s="178"/>
      <c r="D31" s="178"/>
      <c r="E31" s="180">
        <f t="shared" si="15"/>
        <v>0</v>
      </c>
      <c r="F31" s="180"/>
      <c r="G31" s="178"/>
      <c r="H31" s="180">
        <f t="shared" si="16"/>
        <v>0</v>
      </c>
      <c r="I31" s="224">
        <f t="shared" si="4"/>
        <v>0</v>
      </c>
      <c r="J31" s="181">
        <f t="shared" si="6"/>
        <v>0</v>
      </c>
      <c r="K31" s="178"/>
      <c r="L31" s="69">
        <f t="shared" si="1"/>
        <v>0</v>
      </c>
      <c r="M31" s="178"/>
      <c r="N31" s="178"/>
      <c r="O31" s="69">
        <f t="shared" si="13"/>
        <v>0</v>
      </c>
      <c r="P31" s="178"/>
      <c r="Q31" s="70"/>
      <c r="R31" s="178"/>
      <c r="V31" s="148"/>
    </row>
    <row r="32" spans="1:22" ht="18.75">
      <c r="A32" s="136" t="s">
        <v>66</v>
      </c>
      <c r="B32" s="137">
        <v>1130000000</v>
      </c>
      <c r="C32" s="187">
        <f>C33+C34</f>
        <v>37</v>
      </c>
      <c r="D32" s="187">
        <f>D33+D34</f>
        <v>0</v>
      </c>
      <c r="E32" s="188">
        <f>C32+D32</f>
        <v>37</v>
      </c>
      <c r="F32" s="188"/>
      <c r="G32" s="187">
        <f>G33+G34</f>
        <v>14.3</v>
      </c>
      <c r="H32" s="188">
        <f t="shared" si="16"/>
        <v>22.200000000000003</v>
      </c>
      <c r="I32" s="227">
        <f t="shared" si="4"/>
        <v>0.60000000000000009</v>
      </c>
      <c r="J32" s="189"/>
      <c r="K32" s="187">
        <f>K33+K34</f>
        <v>25.1</v>
      </c>
      <c r="L32" s="230">
        <f t="shared" si="1"/>
        <v>0.88446215139442241</v>
      </c>
      <c r="M32" s="187">
        <f>M33+M34</f>
        <v>7.9</v>
      </c>
      <c r="N32" s="187">
        <f>N33+N34</f>
        <v>5.5</v>
      </c>
      <c r="O32" s="230">
        <f t="shared" si="13"/>
        <v>1.4363636363636365</v>
      </c>
      <c r="P32" s="187">
        <f>P33+P34</f>
        <v>0</v>
      </c>
      <c r="Q32" s="199">
        <f>Q33+Q34</f>
        <v>0</v>
      </c>
      <c r="R32" s="187">
        <f>R33+R34</f>
        <v>0</v>
      </c>
      <c r="V32" s="148"/>
    </row>
    <row r="33" spans="1:22" ht="18">
      <c r="A33" s="45" t="s">
        <v>103</v>
      </c>
      <c r="B33" s="15">
        <v>1130206513</v>
      </c>
      <c r="C33" s="190">
        <v>37</v>
      </c>
      <c r="D33" s="190"/>
      <c r="E33" s="191">
        <f t="shared" si="15"/>
        <v>37</v>
      </c>
      <c r="F33" s="191"/>
      <c r="G33" s="190">
        <v>14.3</v>
      </c>
      <c r="H33" s="191">
        <f t="shared" si="16"/>
        <v>22.200000000000003</v>
      </c>
      <c r="I33" s="228">
        <f t="shared" si="4"/>
        <v>0.60000000000000009</v>
      </c>
      <c r="J33" s="192"/>
      <c r="K33" s="190">
        <v>25.1</v>
      </c>
      <c r="L33" s="231">
        <f t="shared" si="1"/>
        <v>0.88446215139442241</v>
      </c>
      <c r="M33" s="190">
        <v>7.9</v>
      </c>
      <c r="N33" s="237">
        <v>5.5</v>
      </c>
      <c r="O33" s="231">
        <f t="shared" si="13"/>
        <v>1.4363636363636365</v>
      </c>
      <c r="P33" s="190"/>
      <c r="Q33" s="200"/>
      <c r="R33" s="190"/>
      <c r="V33" s="148"/>
    </row>
    <row r="34" spans="1:22" ht="18">
      <c r="A34" s="15" t="s">
        <v>38</v>
      </c>
      <c r="B34" s="15">
        <v>1130299513</v>
      </c>
      <c r="C34" s="190"/>
      <c r="D34" s="190"/>
      <c r="E34" s="191">
        <f t="shared" si="15"/>
        <v>0</v>
      </c>
      <c r="F34" s="191"/>
      <c r="G34" s="190"/>
      <c r="H34" s="191">
        <f t="shared" si="16"/>
        <v>0</v>
      </c>
      <c r="I34" s="228">
        <f t="shared" si="4"/>
        <v>0</v>
      </c>
      <c r="J34" s="192">
        <f t="shared" si="6"/>
        <v>0</v>
      </c>
      <c r="K34" s="190"/>
      <c r="L34" s="231">
        <f t="shared" si="1"/>
        <v>0</v>
      </c>
      <c r="M34" s="190"/>
      <c r="N34" s="190"/>
      <c r="O34" s="231">
        <f t="shared" si="13"/>
        <v>0</v>
      </c>
      <c r="P34" s="190"/>
      <c r="Q34" s="200"/>
      <c r="R34" s="190"/>
      <c r="V34" s="148"/>
    </row>
    <row r="35" spans="1:22" ht="18.75">
      <c r="A35" s="136" t="s">
        <v>67</v>
      </c>
      <c r="B35" s="137">
        <v>1140000000</v>
      </c>
      <c r="C35" s="193">
        <f>C36+C37+C38</f>
        <v>783.5</v>
      </c>
      <c r="D35" s="193">
        <f>D36+D37+D38</f>
        <v>630.69999999999982</v>
      </c>
      <c r="E35" s="188">
        <f t="shared" si="15"/>
        <v>1414.1999999999998</v>
      </c>
      <c r="F35" s="188"/>
      <c r="G35" s="193">
        <f>G36+G37+G38</f>
        <v>1437.4</v>
      </c>
      <c r="H35" s="188">
        <f t="shared" si="16"/>
        <v>1700.9</v>
      </c>
      <c r="I35" s="227">
        <f>IF(E35&gt;0,H35/E35,0)</f>
        <v>1.2027294583510113</v>
      </c>
      <c r="J35" s="189"/>
      <c r="K35" s="193">
        <f>K36+K37+K38</f>
        <v>213.60000000000002</v>
      </c>
      <c r="L35" s="230">
        <f>IF(K35&gt;0,H35/K35,0)</f>
        <v>7.9630149812734077</v>
      </c>
      <c r="M35" s="193">
        <f>M36+M37+M38</f>
        <v>263.5</v>
      </c>
      <c r="N35" s="193">
        <f>N36+N37+N38</f>
        <v>0</v>
      </c>
      <c r="O35" s="230">
        <f t="shared" si="13"/>
        <v>0</v>
      </c>
      <c r="P35" s="193">
        <f>P36+P37+P38</f>
        <v>0</v>
      </c>
      <c r="Q35" s="201">
        <f>Q36+Q37+Q38</f>
        <v>0</v>
      </c>
      <c r="R35" s="193">
        <f>R36+R37+R38</f>
        <v>0</v>
      </c>
      <c r="V35" s="148"/>
    </row>
    <row r="36" spans="1:22" ht="18">
      <c r="A36" s="15" t="s">
        <v>75</v>
      </c>
      <c r="B36" s="15">
        <v>1140205313</v>
      </c>
      <c r="C36" s="190">
        <v>183.5</v>
      </c>
      <c r="D36" s="190">
        <v>-108</v>
      </c>
      <c r="E36" s="191">
        <f t="shared" si="15"/>
        <v>75.5</v>
      </c>
      <c r="F36" s="191"/>
      <c r="G36" s="190"/>
      <c r="H36" s="191">
        <f t="shared" si="16"/>
        <v>75.5</v>
      </c>
      <c r="I36" s="228">
        <f>IF(E36&gt;0,H36/E36,0)</f>
        <v>1</v>
      </c>
      <c r="J36" s="192">
        <f>IF(F36&gt;0,H36/F36,0)</f>
        <v>0</v>
      </c>
      <c r="K36" s="190">
        <v>8.8000000000000007</v>
      </c>
      <c r="L36" s="231">
        <f>IF(K36&gt;0,H36/K36,0)</f>
        <v>8.5795454545454533</v>
      </c>
      <c r="M36" s="190">
        <v>75.5</v>
      </c>
      <c r="N36" s="237"/>
      <c r="O36" s="231">
        <f t="shared" si="13"/>
        <v>0</v>
      </c>
      <c r="P36" s="190"/>
      <c r="Q36" s="200"/>
      <c r="R36" s="190"/>
      <c r="V36" s="148"/>
    </row>
    <row r="37" spans="1:22" ht="18">
      <c r="A37" s="15" t="s">
        <v>104</v>
      </c>
      <c r="B37" s="15">
        <v>1140601313</v>
      </c>
      <c r="C37" s="190">
        <v>600</v>
      </c>
      <c r="D37" s="190">
        <f>2488.7-1900-592.1+150</f>
        <v>146.5999999999998</v>
      </c>
      <c r="E37" s="191">
        <f>C37+D37</f>
        <v>746.5999999999998</v>
      </c>
      <c r="F37" s="191"/>
      <c r="G37" s="190">
        <v>845.3</v>
      </c>
      <c r="H37" s="191">
        <f t="shared" si="16"/>
        <v>1033.3</v>
      </c>
      <c r="I37" s="228">
        <f t="shared" si="4"/>
        <v>1.384007500669703</v>
      </c>
      <c r="J37" s="192">
        <f t="shared" si="6"/>
        <v>0</v>
      </c>
      <c r="K37" s="190">
        <v>204.8</v>
      </c>
      <c r="L37" s="231">
        <f t="shared" si="1"/>
        <v>5.0454101562499991</v>
      </c>
      <c r="M37" s="190">
        <v>188</v>
      </c>
      <c r="N37" s="237"/>
      <c r="O37" s="231">
        <f t="shared" si="13"/>
        <v>0</v>
      </c>
      <c r="P37" s="190"/>
      <c r="Q37" s="200"/>
      <c r="R37" s="190"/>
      <c r="V37" s="148"/>
    </row>
    <row r="38" spans="1:22" ht="18">
      <c r="A38" s="15" t="s">
        <v>105</v>
      </c>
      <c r="B38" s="138">
        <v>1140602513</v>
      </c>
      <c r="C38" s="194"/>
      <c r="D38" s="190">
        <v>592.1</v>
      </c>
      <c r="E38" s="191">
        <f>C38+D38</f>
        <v>592.1</v>
      </c>
      <c r="F38" s="191"/>
      <c r="G38" s="190">
        <v>592.1</v>
      </c>
      <c r="H38" s="191">
        <f t="shared" si="16"/>
        <v>592.1</v>
      </c>
      <c r="I38" s="228">
        <f t="shared" si="4"/>
        <v>1</v>
      </c>
      <c r="J38" s="192">
        <f t="shared" si="6"/>
        <v>0</v>
      </c>
      <c r="K38" s="190"/>
      <c r="L38" s="231">
        <f t="shared" si="1"/>
        <v>0</v>
      </c>
      <c r="M38" s="190"/>
      <c r="N38" s="190"/>
      <c r="O38" s="231">
        <f t="shared" si="13"/>
        <v>0</v>
      </c>
      <c r="P38" s="190"/>
      <c r="Q38" s="200"/>
      <c r="R38" s="190"/>
      <c r="V38" s="148"/>
    </row>
    <row r="39" spans="1:22" ht="18">
      <c r="A39" s="9" t="s">
        <v>77</v>
      </c>
      <c r="B39" s="54">
        <v>1160000000</v>
      </c>
      <c r="C39" s="176">
        <v>20</v>
      </c>
      <c r="D39" s="233">
        <f>59.224-10</f>
        <v>49.223999999999997</v>
      </c>
      <c r="E39" s="234">
        <f>C39+D39</f>
        <v>69.22399999999999</v>
      </c>
      <c r="F39" s="183"/>
      <c r="G39" s="176">
        <v>69.2</v>
      </c>
      <c r="H39" s="183">
        <f t="shared" si="16"/>
        <v>69.2</v>
      </c>
      <c r="I39" s="225">
        <f t="shared" si="4"/>
        <v>0.99965329943372261</v>
      </c>
      <c r="J39" s="182">
        <f t="shared" si="6"/>
        <v>0</v>
      </c>
      <c r="K39" s="176">
        <v>38.200000000000003</v>
      </c>
      <c r="L39" s="65">
        <f t="shared" si="1"/>
        <v>1.8115183246073299</v>
      </c>
      <c r="M39" s="176"/>
      <c r="N39" s="176"/>
      <c r="O39" s="65">
        <f t="shared" si="13"/>
        <v>0</v>
      </c>
      <c r="P39" s="176"/>
      <c r="Q39" s="71"/>
      <c r="R39" s="176"/>
      <c r="V39" s="148"/>
    </row>
    <row r="40" spans="1:22" ht="18">
      <c r="A40" s="9" t="s">
        <v>69</v>
      </c>
      <c r="B40" s="30">
        <v>1170000000</v>
      </c>
      <c r="C40" s="176">
        <f>SUM(C41:C42)</f>
        <v>0</v>
      </c>
      <c r="D40" s="176">
        <f>SUM(D41:D43)</f>
        <v>206.137</v>
      </c>
      <c r="E40" s="176">
        <f>SUM(E41:E43)</f>
        <v>996.06999999999994</v>
      </c>
      <c r="F40" s="176">
        <f>SUM(F41:F42)</f>
        <v>0</v>
      </c>
      <c r="G40" s="176">
        <f>SUM(G41:G43)</f>
        <v>998.2</v>
      </c>
      <c r="H40" s="176">
        <f>SUM(H41:H43)</f>
        <v>998.2</v>
      </c>
      <c r="I40" s="225">
        <f t="shared" si="4"/>
        <v>1.002138403927435</v>
      </c>
      <c r="J40" s="182">
        <f t="shared" si="6"/>
        <v>0</v>
      </c>
      <c r="K40" s="176">
        <f>SUM(K41:K43)</f>
        <v>4.5999999999999996</v>
      </c>
      <c r="L40" s="65">
        <f t="shared" si="1"/>
        <v>217.00000000000003</v>
      </c>
      <c r="M40" s="176">
        <f>SUM(M41:M43)</f>
        <v>0</v>
      </c>
      <c r="N40" s="176">
        <f>SUM(N41:N43)</f>
        <v>0.5</v>
      </c>
      <c r="O40" s="232">
        <f>SUM(O41:O42)</f>
        <v>0</v>
      </c>
      <c r="P40" s="176">
        <f>SUM(P41:P42)</f>
        <v>0</v>
      </c>
      <c r="Q40" s="71">
        <f>SUM(Q41:Q42)</f>
        <v>0</v>
      </c>
      <c r="R40" s="176">
        <f>SUM(R41:R42)</f>
        <v>0</v>
      </c>
      <c r="V40" s="148"/>
    </row>
    <row r="41" spans="1:22" ht="18">
      <c r="A41" s="13" t="s">
        <v>8</v>
      </c>
      <c r="B41" s="13">
        <v>1170103003</v>
      </c>
      <c r="C41" s="178"/>
      <c r="D41" s="178"/>
      <c r="E41" s="180">
        <f>C41+D41</f>
        <v>0</v>
      </c>
      <c r="F41" s="180"/>
      <c r="G41" s="178"/>
      <c r="H41" s="178">
        <f>G41+M41</f>
        <v>0</v>
      </c>
      <c r="I41" s="224">
        <f t="shared" si="4"/>
        <v>0</v>
      </c>
      <c r="J41" s="181">
        <f t="shared" si="6"/>
        <v>0</v>
      </c>
      <c r="K41" s="178">
        <v>-0.5</v>
      </c>
      <c r="L41" s="69">
        <f t="shared" si="1"/>
        <v>0</v>
      </c>
      <c r="M41" s="178"/>
      <c r="N41" s="178"/>
      <c r="O41" s="69">
        <f t="shared" ref="O41:O51" si="17">IF(N41&gt;0,M41/N41,0)</f>
        <v>0</v>
      </c>
      <c r="P41" s="179"/>
      <c r="Q41" s="76"/>
      <c r="R41" s="179"/>
      <c r="V41" s="148"/>
    </row>
    <row r="42" spans="1:22" ht="18">
      <c r="A42" s="13" t="s">
        <v>33</v>
      </c>
      <c r="B42" s="13">
        <v>1170505013</v>
      </c>
      <c r="C42" s="178"/>
      <c r="D42" s="178">
        <v>5</v>
      </c>
      <c r="E42" s="180">
        <f>C42+D42</f>
        <v>5</v>
      </c>
      <c r="F42" s="180"/>
      <c r="G42" s="178">
        <v>7.1</v>
      </c>
      <c r="H42" s="180">
        <f>G42+M42</f>
        <v>7.1</v>
      </c>
      <c r="I42" s="224">
        <f>IF(E42&gt;0,H42/E42,0)</f>
        <v>1.42</v>
      </c>
      <c r="J42" s="181">
        <f>IF(F42&gt;0,H42/F42,0)</f>
        <v>0</v>
      </c>
      <c r="K42" s="178">
        <v>5.0999999999999996</v>
      </c>
      <c r="L42" s="69">
        <f>IF(K42&gt;0,H42/K42,0)</f>
        <v>1.392156862745098</v>
      </c>
      <c r="M42" s="178"/>
      <c r="N42" s="178">
        <v>0.5</v>
      </c>
      <c r="O42" s="69">
        <f t="shared" si="17"/>
        <v>0</v>
      </c>
      <c r="P42" s="178"/>
      <c r="Q42" s="70"/>
      <c r="R42" s="178"/>
      <c r="V42" s="148"/>
    </row>
    <row r="43" spans="1:22" ht="18">
      <c r="A43" s="45" t="s">
        <v>114</v>
      </c>
      <c r="B43" s="13">
        <v>1171503013</v>
      </c>
      <c r="C43" s="178">
        <v>789.93299999999999</v>
      </c>
      <c r="D43" s="178">
        <v>201.137</v>
      </c>
      <c r="E43" s="180">
        <f>C43+D43</f>
        <v>991.06999999999994</v>
      </c>
      <c r="F43" s="180"/>
      <c r="G43" s="178">
        <v>991.1</v>
      </c>
      <c r="H43" s="180">
        <f>G43+M43</f>
        <v>991.1</v>
      </c>
      <c r="I43" s="224">
        <f>IF(E43&gt;0,H43/E43,0)</f>
        <v>1.0000302703139032</v>
      </c>
      <c r="J43" s="181"/>
      <c r="K43" s="178"/>
      <c r="L43" s="69">
        <f>IF(K43&gt;0,H43/K43,0)</f>
        <v>0</v>
      </c>
      <c r="M43" s="178"/>
      <c r="N43" s="178"/>
      <c r="O43" s="69">
        <f t="shared" si="17"/>
        <v>0</v>
      </c>
      <c r="P43" s="178"/>
      <c r="Q43" s="70"/>
      <c r="R43" s="178"/>
      <c r="V43" s="148"/>
    </row>
    <row r="44" spans="1:22" ht="18">
      <c r="A44" s="9" t="s">
        <v>6</v>
      </c>
      <c r="B44" s="9">
        <v>1000000000</v>
      </c>
      <c r="C44" s="195">
        <f t="shared" ref="C44:H44" si="18">C5+C25</f>
        <v>13863.9</v>
      </c>
      <c r="D44" s="195">
        <f t="shared" si="18"/>
        <v>1149.0609999999999</v>
      </c>
      <c r="E44" s="235">
        <f t="shared" si="18"/>
        <v>15802.894</v>
      </c>
      <c r="F44" s="195">
        <f t="shared" si="18"/>
        <v>0</v>
      </c>
      <c r="G44" s="195">
        <f>G5+G25</f>
        <v>15457.099999999999</v>
      </c>
      <c r="H44" s="195">
        <f t="shared" si="18"/>
        <v>17556.099999999999</v>
      </c>
      <c r="I44" s="229">
        <f t="shared" si="4"/>
        <v>1.1109420844055524</v>
      </c>
      <c r="J44" s="196">
        <f t="shared" si="6"/>
        <v>0</v>
      </c>
      <c r="K44" s="195">
        <f>K5+K25</f>
        <v>13140.4</v>
      </c>
      <c r="L44" s="79">
        <f t="shared" si="1"/>
        <v>1.336039998782381</v>
      </c>
      <c r="M44" s="195">
        <f>M5+M25</f>
        <v>2099</v>
      </c>
      <c r="N44" s="195">
        <f>N5+N25</f>
        <v>1754.9999999999998</v>
      </c>
      <c r="O44" s="79">
        <f t="shared" si="17"/>
        <v>1.1960113960113963</v>
      </c>
      <c r="P44" s="195">
        <f>P5+P25</f>
        <v>1107.5999999999999</v>
      </c>
      <c r="Q44" s="202">
        <f>Q5+Q25</f>
        <v>516.6</v>
      </c>
      <c r="R44" s="195">
        <f>R5+R25</f>
        <v>774.09999999999991</v>
      </c>
      <c r="V44" s="148"/>
    </row>
    <row r="45" spans="1:22" ht="18">
      <c r="A45" s="9" t="s">
        <v>92</v>
      </c>
      <c r="B45" s="9"/>
      <c r="C45" s="195">
        <f t="shared" ref="C45:H45" si="19">C44-C12</f>
        <v>12077.9</v>
      </c>
      <c r="D45" s="195">
        <f t="shared" si="19"/>
        <v>1149.0609999999999</v>
      </c>
      <c r="E45" s="195">
        <f t="shared" si="19"/>
        <v>14016.894</v>
      </c>
      <c r="F45" s="195">
        <f t="shared" si="19"/>
        <v>0</v>
      </c>
      <c r="G45" s="195">
        <f>G44-G12</f>
        <v>13702.8</v>
      </c>
      <c r="H45" s="195">
        <f t="shared" si="19"/>
        <v>15640.3</v>
      </c>
      <c r="I45" s="229">
        <f>IF(E45&gt;0,H45/E45,0)</f>
        <v>1.1158178124197842</v>
      </c>
      <c r="J45" s="196">
        <f>IF(F45&gt;0,H45/F45,0)</f>
        <v>0</v>
      </c>
      <c r="K45" s="195">
        <f>K44-K12</f>
        <v>11337</v>
      </c>
      <c r="L45" s="79">
        <f t="shared" si="1"/>
        <v>1.3795801358384052</v>
      </c>
      <c r="M45" s="195">
        <f>M44-M12</f>
        <v>1937.5</v>
      </c>
      <c r="N45" s="195">
        <f>N44-N12</f>
        <v>1580.2999999999997</v>
      </c>
      <c r="O45" s="79">
        <f t="shared" si="17"/>
        <v>1.2260330317028414</v>
      </c>
      <c r="P45" s="195"/>
      <c r="Q45" s="202"/>
      <c r="R45" s="195"/>
      <c r="V45" s="148"/>
    </row>
    <row r="46" spans="1:22" ht="18">
      <c r="A46" s="13" t="s">
        <v>36</v>
      </c>
      <c r="B46" s="13">
        <v>2000000000</v>
      </c>
      <c r="C46" s="178">
        <v>22274.7</v>
      </c>
      <c r="D46" s="178">
        <f>3949.664+2500+1900-111.3+250+509.4-108.4+657-53.7</f>
        <v>9492.6640000000007</v>
      </c>
      <c r="E46" s="180">
        <f>C46+D46</f>
        <v>31767.364000000001</v>
      </c>
      <c r="F46" s="180"/>
      <c r="G46" s="178">
        <v>30910.9</v>
      </c>
      <c r="H46" s="178">
        <f>G46+M46</f>
        <v>31758.2</v>
      </c>
      <c r="I46" s="224">
        <f t="shared" si="4"/>
        <v>0.99971152784348105</v>
      </c>
      <c r="J46" s="181">
        <f t="shared" si="6"/>
        <v>0</v>
      </c>
      <c r="K46" s="178">
        <v>14992.1</v>
      </c>
      <c r="L46" s="69">
        <f t="shared" si="1"/>
        <v>2.1183289865996091</v>
      </c>
      <c r="M46" s="178">
        <v>847.3</v>
      </c>
      <c r="N46" s="70">
        <v>161.1</v>
      </c>
      <c r="O46" s="69">
        <f t="shared" si="17"/>
        <v>5.2594661700806951</v>
      </c>
      <c r="P46" s="178"/>
      <c r="Q46" s="70"/>
      <c r="R46" s="178"/>
      <c r="V46" s="148"/>
    </row>
    <row r="47" spans="1:22" ht="18">
      <c r="A47" s="13" t="s">
        <v>46</v>
      </c>
      <c r="B47" s="34" t="s">
        <v>95</v>
      </c>
      <c r="C47" s="178"/>
      <c r="D47" s="178">
        <v>200</v>
      </c>
      <c r="E47" s="180">
        <f>C47+D47</f>
        <v>200</v>
      </c>
      <c r="F47" s="180"/>
      <c r="G47" s="178">
        <v>200</v>
      </c>
      <c r="H47" s="178">
        <f>G47+M47</f>
        <v>200</v>
      </c>
      <c r="I47" s="224">
        <f>IF(E47&gt;0,H47/E47,0)</f>
        <v>1</v>
      </c>
      <c r="J47" s="181">
        <f>IF(F47&gt;0,H47/F47,0)</f>
        <v>0</v>
      </c>
      <c r="K47" s="178"/>
      <c r="L47" s="69">
        <f t="shared" si="1"/>
        <v>0</v>
      </c>
      <c r="M47" s="178"/>
      <c r="N47" s="178"/>
      <c r="O47" s="69">
        <f t="shared" si="17"/>
        <v>0</v>
      </c>
      <c r="P47" s="178"/>
      <c r="Q47" s="70"/>
      <c r="R47" s="178"/>
      <c r="V47" s="148"/>
    </row>
    <row r="48" spans="1:22" ht="18">
      <c r="A48" s="13" t="s">
        <v>116</v>
      </c>
      <c r="B48" s="34" t="s">
        <v>130</v>
      </c>
      <c r="C48" s="178"/>
      <c r="D48" s="178"/>
      <c r="E48" s="180"/>
      <c r="F48" s="180"/>
      <c r="G48" s="178">
        <v>-9.8000000000000007</v>
      </c>
      <c r="H48" s="178">
        <f>G48+M48</f>
        <v>0</v>
      </c>
      <c r="I48" s="224">
        <f>IF(E48&gt;0,H48/E48,0)</f>
        <v>0</v>
      </c>
      <c r="J48" s="181"/>
      <c r="K48" s="178"/>
      <c r="L48" s="69"/>
      <c r="M48" s="178">
        <v>9.8000000000000007</v>
      </c>
      <c r="N48" s="178"/>
      <c r="O48" s="69"/>
      <c r="P48" s="178"/>
      <c r="Q48" s="70"/>
      <c r="R48" s="178"/>
      <c r="V48" s="148"/>
    </row>
    <row r="49" spans="1:22" ht="18">
      <c r="A49" s="8" t="s">
        <v>108</v>
      </c>
      <c r="B49" s="144" t="s">
        <v>111</v>
      </c>
      <c r="C49" s="178"/>
      <c r="D49" s="178"/>
      <c r="E49" s="180">
        <f>C49+D49</f>
        <v>0</v>
      </c>
      <c r="F49" s="180"/>
      <c r="G49" s="178"/>
      <c r="H49" s="178">
        <f>G49+M49</f>
        <v>0</v>
      </c>
      <c r="I49" s="224">
        <f>IF(E49&gt;0,H49/E49,0)</f>
        <v>0</v>
      </c>
      <c r="J49" s="181"/>
      <c r="K49" s="178"/>
      <c r="L49" s="69"/>
      <c r="M49" s="178"/>
      <c r="N49" s="178"/>
      <c r="O49" s="69"/>
      <c r="P49" s="178"/>
      <c r="Q49" s="70"/>
      <c r="R49" s="178"/>
      <c r="V49" s="148"/>
    </row>
    <row r="50" spans="1:22" ht="24" customHeight="1">
      <c r="A50" s="8" t="s">
        <v>93</v>
      </c>
      <c r="B50" s="46" t="s">
        <v>107</v>
      </c>
      <c r="C50" s="178"/>
      <c r="D50" s="178"/>
      <c r="E50" s="180">
        <f>C50+D50</f>
        <v>0</v>
      </c>
      <c r="F50" s="180"/>
      <c r="G50" s="178">
        <v>-352.5</v>
      </c>
      <c r="H50" s="178">
        <f>G50+M50</f>
        <v>-352.5</v>
      </c>
      <c r="I50" s="224"/>
      <c r="J50" s="181"/>
      <c r="K50" s="178"/>
      <c r="L50" s="69"/>
      <c r="M50" s="178"/>
      <c r="N50" s="178"/>
      <c r="O50" s="69"/>
      <c r="P50" s="178"/>
      <c r="Q50" s="70"/>
      <c r="R50" s="178"/>
      <c r="V50" s="148"/>
    </row>
    <row r="51" spans="1:22" ht="18">
      <c r="A51" s="9" t="s">
        <v>2</v>
      </c>
      <c r="B51" s="9"/>
      <c r="C51" s="195">
        <f>C44+C46+C47</f>
        <v>36138.6</v>
      </c>
      <c r="D51" s="195">
        <f>D44+D46+D47+D50+D49</f>
        <v>10841.725</v>
      </c>
      <c r="E51" s="235">
        <f>E44+E46+E47+E50+E49</f>
        <v>47770.258000000002</v>
      </c>
      <c r="F51" s="195">
        <f>F44+F46+F47</f>
        <v>0</v>
      </c>
      <c r="G51" s="195">
        <f>G44+G46+G47+G50+G49+G48</f>
        <v>46205.7</v>
      </c>
      <c r="H51" s="195">
        <f>H44+H46+H47+H50+H49+H48</f>
        <v>49161.8</v>
      </c>
      <c r="I51" s="229">
        <f t="shared" si="4"/>
        <v>1.0291298824469401</v>
      </c>
      <c r="J51" s="196">
        <f t="shared" si="6"/>
        <v>0</v>
      </c>
      <c r="K51" s="195">
        <f>K44+K46+K47+K49+K50</f>
        <v>28132.5</v>
      </c>
      <c r="L51" s="79">
        <f t="shared" si="1"/>
        <v>1.7475091086821293</v>
      </c>
      <c r="M51" s="195">
        <f>M44+M46+M47+M50+M49+M48</f>
        <v>2956.1000000000004</v>
      </c>
      <c r="N51" s="195">
        <f>N44+N46+N47+N50+N49</f>
        <v>1916.0999999999997</v>
      </c>
      <c r="O51" s="79">
        <f t="shared" si="17"/>
        <v>1.5427691665361938</v>
      </c>
      <c r="P51" s="195">
        <f>P44+P46+P47</f>
        <v>1107.5999999999999</v>
      </c>
      <c r="Q51" s="78">
        <f>Q44+Q46+Q47</f>
        <v>516.6</v>
      </c>
      <c r="R51" s="195">
        <f>R44+R46+R47</f>
        <v>774.09999999999991</v>
      </c>
      <c r="V51" s="148"/>
    </row>
  </sheetData>
  <mergeCells count="15">
    <mergeCell ref="A3:A4"/>
    <mergeCell ref="B3:B4"/>
    <mergeCell ref="C3:C4"/>
    <mergeCell ref="D3:D4"/>
    <mergeCell ref="C1:N1"/>
    <mergeCell ref="B2:R2"/>
    <mergeCell ref="G3:G4"/>
    <mergeCell ref="M3:M4"/>
    <mergeCell ref="E3:E4"/>
    <mergeCell ref="P3:R3"/>
    <mergeCell ref="K3:L3"/>
    <mergeCell ref="F3:F4"/>
    <mergeCell ref="H3:J3"/>
    <mergeCell ref="N3:N4"/>
    <mergeCell ref="O3:O4"/>
  </mergeCells>
  <phoneticPr fontId="0" type="noConversion"/>
  <pageMargins left="0.75" right="0.75" top="1" bottom="1" header="0.5" footer="0.5"/>
  <pageSetup paperSize="9" scale="46" fitToWidth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4"/>
  <sheetViews>
    <sheetView zoomScaleNormal="100" workbookViewId="0">
      <pane xSplit="2" ySplit="4" topLeftCell="E30" activePane="bottomRight" state="frozen"/>
      <selection pane="topRight" activeCell="D1" sqref="D1"/>
      <selection pane="bottomLeft" activeCell="A5" sqref="A5"/>
      <selection pane="bottomRight" activeCell="R21" sqref="R21"/>
    </sheetView>
  </sheetViews>
  <sheetFormatPr defaultRowHeight="12.75"/>
  <cols>
    <col min="1" max="1" width="40.140625" customWidth="1"/>
    <col min="2" max="2" width="15.42578125" customWidth="1"/>
    <col min="3" max="3" width="14" customWidth="1"/>
    <col min="4" max="4" width="14.42578125" customWidth="1"/>
    <col min="5" max="5" width="14.85546875" customWidth="1"/>
    <col min="6" max="6" width="11" hidden="1" customWidth="1"/>
    <col min="7" max="7" width="11.85546875" customWidth="1"/>
    <col min="8" max="8" width="11.42578125" customWidth="1"/>
    <col min="9" max="9" width="12.42578125" customWidth="1"/>
    <col min="10" max="10" width="0.140625" hidden="1" customWidth="1"/>
    <col min="11" max="11" width="12.42578125" customWidth="1"/>
    <col min="12" max="12" width="15.5703125" customWidth="1"/>
    <col min="13" max="13" width="11.28515625" customWidth="1"/>
    <col min="14" max="14" width="11.140625" customWidth="1"/>
    <col min="15" max="15" width="14.28515625" customWidth="1"/>
    <col min="16" max="16" width="10.42578125" customWidth="1"/>
    <col min="17" max="17" width="10.7109375" customWidth="1"/>
    <col min="18" max="18" width="10.5703125" customWidth="1"/>
    <col min="19" max="19" width="10.28515625" bestFit="1" customWidth="1"/>
  </cols>
  <sheetData>
    <row r="1" spans="1:19" ht="15.75">
      <c r="A1" s="26"/>
      <c r="B1" s="47"/>
      <c r="C1" s="250" t="s">
        <v>11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48"/>
      <c r="O1" s="48"/>
      <c r="P1" s="26"/>
      <c r="Q1" s="26"/>
      <c r="R1" s="26"/>
    </row>
    <row r="2" spans="1:19" ht="15.75">
      <c r="A2" s="26"/>
      <c r="B2" s="251" t="s">
        <v>143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</row>
    <row r="3" spans="1:19" ht="18" customHeight="1">
      <c r="A3" s="252" t="s">
        <v>3</v>
      </c>
      <c r="B3" s="245" t="s">
        <v>4</v>
      </c>
      <c r="C3" s="245" t="s">
        <v>124</v>
      </c>
      <c r="D3" s="245" t="s">
        <v>24</v>
      </c>
      <c r="E3" s="245" t="s">
        <v>125</v>
      </c>
      <c r="F3" s="245" t="s">
        <v>99</v>
      </c>
      <c r="G3" s="245" t="s">
        <v>128</v>
      </c>
      <c r="H3" s="245" t="s">
        <v>123</v>
      </c>
      <c r="I3" s="245"/>
      <c r="J3" s="245"/>
      <c r="K3" s="245" t="s">
        <v>117</v>
      </c>
      <c r="L3" s="245"/>
      <c r="M3" s="245" t="s">
        <v>138</v>
      </c>
      <c r="N3" s="245" t="s">
        <v>139</v>
      </c>
      <c r="O3" s="245" t="s">
        <v>30</v>
      </c>
      <c r="P3" s="245" t="s">
        <v>9</v>
      </c>
      <c r="Q3" s="245"/>
      <c r="R3" s="245"/>
    </row>
    <row r="4" spans="1:19" ht="98.25" customHeight="1">
      <c r="A4" s="253"/>
      <c r="B4" s="254"/>
      <c r="C4" s="245"/>
      <c r="D4" s="245"/>
      <c r="E4" s="245"/>
      <c r="F4" s="245"/>
      <c r="G4" s="245"/>
      <c r="H4" s="210" t="s">
        <v>140</v>
      </c>
      <c r="I4" s="171" t="s">
        <v>10</v>
      </c>
      <c r="J4" s="171" t="s">
        <v>29</v>
      </c>
      <c r="K4" s="173" t="s">
        <v>140</v>
      </c>
      <c r="L4" s="171" t="s">
        <v>30</v>
      </c>
      <c r="M4" s="245"/>
      <c r="N4" s="245"/>
      <c r="O4" s="245"/>
      <c r="P4" s="121" t="s">
        <v>122</v>
      </c>
      <c r="Q4" s="121" t="s">
        <v>129</v>
      </c>
      <c r="R4" s="121" t="s">
        <v>132</v>
      </c>
    </row>
    <row r="5" spans="1:19" ht="21" customHeight="1">
      <c r="A5" s="50" t="s">
        <v>21</v>
      </c>
      <c r="B5" s="51"/>
      <c r="C5" s="83">
        <f t="shared" ref="C5:H5" si="0">C6+C15+C17+C22+C23+C10</f>
        <v>1423.4</v>
      </c>
      <c r="D5" s="83">
        <f t="shared" si="0"/>
        <v>75</v>
      </c>
      <c r="E5" s="83">
        <f t="shared" si="0"/>
        <v>1498.4</v>
      </c>
      <c r="F5" s="83" t="e">
        <f t="shared" si="0"/>
        <v>#REF!</v>
      </c>
      <c r="G5" s="83">
        <f t="shared" si="0"/>
        <v>1459</v>
      </c>
      <c r="H5" s="83">
        <f t="shared" si="0"/>
        <v>1605.2999999999997</v>
      </c>
      <c r="I5" s="63">
        <f t="shared" ref="I5:I44" si="1">IF(E5&gt;0,H5/E5,0)</f>
        <v>1.0713427656166574</v>
      </c>
      <c r="J5" s="63" t="e">
        <f>IF(F5&gt;0,H5/F5,0)</f>
        <v>#REF!</v>
      </c>
      <c r="K5" s="83">
        <f>K6+K15+K17+K22+K23+K10</f>
        <v>1128.0999999999999</v>
      </c>
      <c r="L5" s="63">
        <f>IF(K5&gt;0,H5/K5,0)</f>
        <v>1.4230121443134474</v>
      </c>
      <c r="M5" s="83">
        <f>M6+M15+M17+M22+M23+M10</f>
        <v>146.30000000000001</v>
      </c>
      <c r="N5" s="83">
        <f>N6+N15+N17+N22+N23+N10</f>
        <v>111.20000000000002</v>
      </c>
      <c r="O5" s="63">
        <f t="shared" ref="O5:O33" si="2">IF(N5&gt;0,M5/N5,0)</f>
        <v>1.3156474820143884</v>
      </c>
      <c r="P5" s="83">
        <f>P6+P15+P17+P22+P23+P10</f>
        <v>61.3</v>
      </c>
      <c r="Q5" s="83">
        <f>Q6+Q15+Q17+Q22+Q23+Q10</f>
        <v>50.099999999999994</v>
      </c>
      <c r="R5" s="83">
        <f>R6+R15+R17+R22+R23+R10</f>
        <v>49.2</v>
      </c>
    </row>
    <row r="6" spans="1:19" ht="16.5" customHeight="1">
      <c r="A6" s="9" t="s">
        <v>63</v>
      </c>
      <c r="B6" s="52">
        <v>1010200001</v>
      </c>
      <c r="C6" s="84">
        <f>C7+C8+C9</f>
        <v>513.5</v>
      </c>
      <c r="D6" s="84">
        <f>D7+D8+D9</f>
        <v>50</v>
      </c>
      <c r="E6" s="84">
        <f>E7+E8+E9</f>
        <v>563.5</v>
      </c>
      <c r="F6" s="84" t="e">
        <f>F7+F8+F9+#REF!</f>
        <v>#REF!</v>
      </c>
      <c r="G6" s="84">
        <f>G7+G8+G9</f>
        <v>533.19999999999993</v>
      </c>
      <c r="H6" s="84">
        <f>H7+H8+H9</f>
        <v>606.4</v>
      </c>
      <c r="I6" s="65">
        <f t="shared" si="1"/>
        <v>1.0761313220940549</v>
      </c>
      <c r="J6" s="65" t="e">
        <f>IF(F6&gt;0,H6/F6,0)</f>
        <v>#REF!</v>
      </c>
      <c r="K6" s="84">
        <f>K7+K8+K9</f>
        <v>436.3</v>
      </c>
      <c r="L6" s="65">
        <f t="shared" ref="L6:L44" si="3">IF(K6&gt;0,H6/K6,0)</f>
        <v>1.3898693559477422</v>
      </c>
      <c r="M6" s="84">
        <f>M7+M8+M9</f>
        <v>73.2</v>
      </c>
      <c r="N6" s="84">
        <f>N7+N8+N9</f>
        <v>57.7</v>
      </c>
      <c r="O6" s="65">
        <f t="shared" si="2"/>
        <v>1.2686308492201039</v>
      </c>
      <c r="P6" s="84">
        <f>P7+P8+P9</f>
        <v>46.199999999999996</v>
      </c>
      <c r="Q6" s="84">
        <f>Q7+Q8+Q9</f>
        <v>37.799999999999997</v>
      </c>
      <c r="R6" s="84">
        <f>R7+R8+R9</f>
        <v>34.5</v>
      </c>
      <c r="S6" s="26"/>
    </row>
    <row r="7" spans="1:19" ht="18">
      <c r="A7" s="10" t="s">
        <v>44</v>
      </c>
      <c r="B7" s="13">
        <v>1010201001</v>
      </c>
      <c r="C7" s="70">
        <v>513.5</v>
      </c>
      <c r="D7" s="67">
        <v>50</v>
      </c>
      <c r="E7" s="66">
        <f>C7+D7</f>
        <v>563.5</v>
      </c>
      <c r="F7" s="66"/>
      <c r="G7" s="67">
        <v>526.29999999999995</v>
      </c>
      <c r="H7" s="68">
        <f>G7+M7</f>
        <v>595.19999999999993</v>
      </c>
      <c r="I7" s="69">
        <f t="shared" si="1"/>
        <v>1.0562555456965395</v>
      </c>
      <c r="J7" s="69">
        <f t="shared" ref="J7:J44" si="4">IF(F7&gt;0,H7/F7,0)</f>
        <v>0</v>
      </c>
      <c r="K7" s="67">
        <v>436.3</v>
      </c>
      <c r="L7" s="69">
        <f t="shared" si="3"/>
        <v>1.364198945679578</v>
      </c>
      <c r="M7" s="67">
        <v>68.900000000000006</v>
      </c>
      <c r="N7" s="67">
        <v>57.7</v>
      </c>
      <c r="O7" s="69">
        <f t="shared" si="2"/>
        <v>1.1941074523396882</v>
      </c>
      <c r="P7" s="70">
        <v>1.4</v>
      </c>
      <c r="Q7" s="70"/>
      <c r="R7" s="70"/>
      <c r="S7" s="150"/>
    </row>
    <row r="8" spans="1:19" ht="18">
      <c r="A8" s="10" t="s">
        <v>43</v>
      </c>
      <c r="B8" s="13">
        <v>1010202001</v>
      </c>
      <c r="C8" s="70"/>
      <c r="D8" s="67"/>
      <c r="E8" s="66">
        <f>C8+D8</f>
        <v>0</v>
      </c>
      <c r="F8" s="66"/>
      <c r="G8" s="70"/>
      <c r="H8" s="68">
        <f>G8+M8</f>
        <v>0</v>
      </c>
      <c r="I8" s="69">
        <f t="shared" si="1"/>
        <v>0</v>
      </c>
      <c r="J8" s="69">
        <f t="shared" si="4"/>
        <v>0</v>
      </c>
      <c r="K8" s="70"/>
      <c r="L8" s="69">
        <f>IF(K8&gt;0,H8/K8,0)</f>
        <v>0</v>
      </c>
      <c r="M8" s="70"/>
      <c r="N8" s="70"/>
      <c r="O8" s="69">
        <f>IF(N8&gt;0,M8/N8,0)</f>
        <v>0</v>
      </c>
      <c r="P8" s="66"/>
      <c r="Q8" s="66"/>
      <c r="R8" s="66"/>
      <c r="S8" s="26"/>
    </row>
    <row r="9" spans="1:19" ht="21" customHeight="1">
      <c r="A9" s="10" t="s">
        <v>42</v>
      </c>
      <c r="B9" s="13">
        <v>1010203001</v>
      </c>
      <c r="C9" s="70"/>
      <c r="D9" s="70"/>
      <c r="E9" s="66">
        <f>C9+D9</f>
        <v>0</v>
      </c>
      <c r="F9" s="66"/>
      <c r="G9" s="70">
        <v>6.9</v>
      </c>
      <c r="H9" s="68">
        <f>G9+M9</f>
        <v>11.2</v>
      </c>
      <c r="I9" s="69">
        <f t="shared" si="1"/>
        <v>0</v>
      </c>
      <c r="J9" s="69">
        <f t="shared" si="4"/>
        <v>0</v>
      </c>
      <c r="K9" s="70"/>
      <c r="L9" s="69">
        <f t="shared" si="3"/>
        <v>0</v>
      </c>
      <c r="M9" s="70">
        <v>4.3</v>
      </c>
      <c r="N9" s="70"/>
      <c r="O9" s="69">
        <f t="shared" si="2"/>
        <v>0</v>
      </c>
      <c r="P9" s="70">
        <v>44.8</v>
      </c>
      <c r="Q9" s="70">
        <v>37.799999999999997</v>
      </c>
      <c r="R9" s="70">
        <v>34.5</v>
      </c>
      <c r="S9" s="26"/>
    </row>
    <row r="10" spans="1:19" ht="30" customHeight="1">
      <c r="A10" s="11" t="s">
        <v>48</v>
      </c>
      <c r="B10" s="19">
        <v>1030200001</v>
      </c>
      <c r="C10" s="71">
        <f t="shared" ref="C10:H10" si="5">SUM(C11:C14)</f>
        <v>745.90000000000009</v>
      </c>
      <c r="D10" s="71">
        <f t="shared" si="5"/>
        <v>0</v>
      </c>
      <c r="E10" s="71">
        <f t="shared" si="5"/>
        <v>745.90000000000009</v>
      </c>
      <c r="F10" s="71"/>
      <c r="G10" s="71">
        <f>SUM(G11:G14)</f>
        <v>732.6</v>
      </c>
      <c r="H10" s="71">
        <f t="shared" si="5"/>
        <v>800.09999999999991</v>
      </c>
      <c r="I10" s="65">
        <f t="shared" si="1"/>
        <v>1.0726638959646062</v>
      </c>
      <c r="J10" s="65">
        <f>IF(F10&gt;0,H10/F10,0)</f>
        <v>0</v>
      </c>
      <c r="K10" s="71">
        <f>SUM(K11:K14)</f>
        <v>489.1</v>
      </c>
      <c r="L10" s="65">
        <f t="shared" si="3"/>
        <v>1.6358617869556324</v>
      </c>
      <c r="M10" s="71">
        <f>SUM(M11:M14)</f>
        <v>67.5</v>
      </c>
      <c r="N10" s="71">
        <f>SUM(N11:N14)</f>
        <v>47.400000000000006</v>
      </c>
      <c r="O10" s="65">
        <f t="shared" si="2"/>
        <v>1.4240506329113922</v>
      </c>
      <c r="P10" s="71">
        <f>SUM(P11:P14)</f>
        <v>0</v>
      </c>
      <c r="Q10" s="71">
        <f>SUM(Q11:Q14)</f>
        <v>0</v>
      </c>
      <c r="R10" s="71">
        <f>SUM(R11:R14)</f>
        <v>0</v>
      </c>
      <c r="S10" s="26"/>
    </row>
    <row r="11" spans="1:19" ht="22.5" customHeight="1">
      <c r="A11" s="12" t="s">
        <v>49</v>
      </c>
      <c r="B11" s="12">
        <v>1030223101</v>
      </c>
      <c r="C11" s="70">
        <v>389</v>
      </c>
      <c r="D11" s="70">
        <f>120-120</f>
        <v>0</v>
      </c>
      <c r="E11" s="66">
        <f>C11+D11</f>
        <v>389</v>
      </c>
      <c r="F11" s="66"/>
      <c r="G11" s="70">
        <v>379.6</v>
      </c>
      <c r="H11" s="68">
        <f>G11+M11</f>
        <v>413.3</v>
      </c>
      <c r="I11" s="69">
        <f t="shared" si="1"/>
        <v>1.0624678663239076</v>
      </c>
      <c r="J11" s="69">
        <f>IF(F11&gt;0,H11/F11,0)</f>
        <v>0</v>
      </c>
      <c r="K11" s="70">
        <v>253.4</v>
      </c>
      <c r="L11" s="69">
        <f t="shared" si="3"/>
        <v>1.6310181531176007</v>
      </c>
      <c r="M11" s="70">
        <v>33.700000000000003</v>
      </c>
      <c r="N11" s="70">
        <v>25.6</v>
      </c>
      <c r="O11" s="69">
        <f t="shared" si="2"/>
        <v>1.31640625</v>
      </c>
      <c r="P11" s="70"/>
      <c r="Q11" s="70"/>
      <c r="R11" s="70"/>
      <c r="S11" s="26"/>
    </row>
    <row r="12" spans="1:19" ht="18.75" customHeight="1">
      <c r="A12" s="12" t="s">
        <v>50</v>
      </c>
      <c r="B12" s="12">
        <v>1030224101</v>
      </c>
      <c r="C12" s="70">
        <v>1.9</v>
      </c>
      <c r="D12" s="70"/>
      <c r="E12" s="66">
        <f>C12+D12</f>
        <v>1.9</v>
      </c>
      <c r="F12" s="66"/>
      <c r="G12" s="70">
        <v>2.2000000000000002</v>
      </c>
      <c r="H12" s="68">
        <f>G12+M12</f>
        <v>2.4000000000000004</v>
      </c>
      <c r="I12" s="69">
        <f t="shared" si="1"/>
        <v>1.2631578947368423</v>
      </c>
      <c r="J12" s="69">
        <f>IF(F12&gt;0,H12/F12,0)</f>
        <v>0</v>
      </c>
      <c r="K12" s="70">
        <v>1.3</v>
      </c>
      <c r="L12" s="69">
        <f t="shared" si="3"/>
        <v>1.8461538461538463</v>
      </c>
      <c r="M12" s="70">
        <v>0.2</v>
      </c>
      <c r="N12" s="70">
        <v>0.1</v>
      </c>
      <c r="O12" s="69">
        <f t="shared" si="2"/>
        <v>2</v>
      </c>
      <c r="P12" s="70"/>
      <c r="Q12" s="70"/>
      <c r="R12" s="70"/>
      <c r="S12" s="26"/>
    </row>
    <row r="13" spans="1:19" ht="19.5" customHeight="1">
      <c r="A13" s="12" t="s">
        <v>51</v>
      </c>
      <c r="B13" s="12">
        <v>1030225101</v>
      </c>
      <c r="C13" s="70">
        <v>403.3</v>
      </c>
      <c r="D13" s="70">
        <f>200-200</f>
        <v>0</v>
      </c>
      <c r="E13" s="66">
        <f>C13+D13</f>
        <v>403.3</v>
      </c>
      <c r="F13" s="66"/>
      <c r="G13" s="70">
        <v>392.9</v>
      </c>
      <c r="H13" s="68">
        <f>G13+M13</f>
        <v>429.4</v>
      </c>
      <c r="I13" s="69">
        <f t="shared" si="1"/>
        <v>1.064716092239028</v>
      </c>
      <c r="J13" s="69">
        <f>IF(F13&gt;0,H13/F13,0)</f>
        <v>0</v>
      </c>
      <c r="K13" s="70">
        <v>262</v>
      </c>
      <c r="L13" s="69">
        <f t="shared" si="3"/>
        <v>1.6389312977099235</v>
      </c>
      <c r="M13" s="70">
        <v>36.5</v>
      </c>
      <c r="N13" s="70">
        <v>24</v>
      </c>
      <c r="O13" s="69">
        <f t="shared" si="2"/>
        <v>1.5208333333333333</v>
      </c>
      <c r="P13" s="70"/>
      <c r="Q13" s="70"/>
      <c r="R13" s="70"/>
      <c r="S13" s="26"/>
    </row>
    <row r="14" spans="1:19" ht="18.75" customHeight="1">
      <c r="A14" s="12" t="s">
        <v>52</v>
      </c>
      <c r="B14" s="12">
        <v>1030226101</v>
      </c>
      <c r="C14" s="70">
        <v>-48.3</v>
      </c>
      <c r="D14" s="70"/>
      <c r="E14" s="66">
        <f>C14+D14</f>
        <v>-48.3</v>
      </c>
      <c r="F14" s="66"/>
      <c r="G14" s="70">
        <v>-42.1</v>
      </c>
      <c r="H14" s="68">
        <f>G14+M14</f>
        <v>-45</v>
      </c>
      <c r="I14" s="69">
        <f>H14/E14</f>
        <v>0.93167701863354047</v>
      </c>
      <c r="J14" s="69">
        <f>IF(F14&gt;0,H14/F14,0)</f>
        <v>0</v>
      </c>
      <c r="K14" s="70">
        <v>-27.6</v>
      </c>
      <c r="L14" s="69">
        <f t="shared" si="3"/>
        <v>0</v>
      </c>
      <c r="M14" s="70">
        <v>-2.9</v>
      </c>
      <c r="N14" s="70">
        <v>-2.2999999999999998</v>
      </c>
      <c r="O14" s="69">
        <f t="shared" si="2"/>
        <v>0</v>
      </c>
      <c r="P14" s="70"/>
      <c r="Q14" s="70"/>
      <c r="R14" s="70"/>
      <c r="S14" s="26"/>
    </row>
    <row r="15" spans="1:19" ht="18">
      <c r="A15" s="9" t="s">
        <v>70</v>
      </c>
      <c r="B15" s="30">
        <v>1050000000</v>
      </c>
      <c r="C15" s="71">
        <f t="shared" ref="C15:H15" si="6">C16</f>
        <v>5</v>
      </c>
      <c r="D15" s="126">
        <f t="shared" si="6"/>
        <v>-5</v>
      </c>
      <c r="E15" s="126">
        <f t="shared" si="6"/>
        <v>0</v>
      </c>
      <c r="F15" s="72">
        <f t="shared" si="6"/>
        <v>0</v>
      </c>
      <c r="G15" s="71">
        <f>G16</f>
        <v>0</v>
      </c>
      <c r="H15" s="72">
        <f t="shared" si="6"/>
        <v>0</v>
      </c>
      <c r="I15" s="65">
        <f t="shared" si="1"/>
        <v>0</v>
      </c>
      <c r="J15" s="65">
        <f t="shared" si="4"/>
        <v>0</v>
      </c>
      <c r="K15" s="71">
        <f>K16</f>
        <v>-1.9</v>
      </c>
      <c r="L15" s="65">
        <f t="shared" si="3"/>
        <v>0</v>
      </c>
      <c r="M15" s="71">
        <f>M16</f>
        <v>0</v>
      </c>
      <c r="N15" s="71">
        <f>N16</f>
        <v>0</v>
      </c>
      <c r="O15" s="65">
        <f t="shared" si="2"/>
        <v>0</v>
      </c>
      <c r="P15" s="71">
        <f>P16</f>
        <v>0</v>
      </c>
      <c r="Q15" s="71">
        <f>Q16</f>
        <v>0</v>
      </c>
      <c r="R15" s="71">
        <f>R16</f>
        <v>0</v>
      </c>
      <c r="S15" s="26"/>
    </row>
    <row r="16" spans="1:19" ht="18">
      <c r="A16" s="13" t="s">
        <v>7</v>
      </c>
      <c r="B16" s="13">
        <v>1050300001</v>
      </c>
      <c r="C16" s="70">
        <v>5</v>
      </c>
      <c r="D16" s="82">
        <v>-5</v>
      </c>
      <c r="E16" s="66">
        <f>C16+D16</f>
        <v>0</v>
      </c>
      <c r="F16" s="66">
        <f>1-1</f>
        <v>0</v>
      </c>
      <c r="G16" s="70"/>
      <c r="H16" s="68">
        <f>G16+M16</f>
        <v>0</v>
      </c>
      <c r="I16" s="69">
        <f t="shared" si="1"/>
        <v>0</v>
      </c>
      <c r="J16" s="69">
        <f t="shared" si="4"/>
        <v>0</v>
      </c>
      <c r="K16" s="70">
        <v>-1.9</v>
      </c>
      <c r="L16" s="69">
        <f t="shared" si="3"/>
        <v>0</v>
      </c>
      <c r="M16" s="70"/>
      <c r="N16" s="70"/>
      <c r="O16" s="69">
        <f t="shared" si="2"/>
        <v>0</v>
      </c>
      <c r="P16" s="70"/>
      <c r="Q16" s="70"/>
      <c r="R16" s="70"/>
      <c r="S16" s="26"/>
    </row>
    <row r="17" spans="1:20" ht="18">
      <c r="A17" s="9" t="s">
        <v>71</v>
      </c>
      <c r="B17" s="30">
        <v>1060000000</v>
      </c>
      <c r="C17" s="71">
        <f t="shared" ref="C17:H17" si="7">C18+C21</f>
        <v>158</v>
      </c>
      <c r="D17" s="124">
        <f t="shared" si="7"/>
        <v>30.7</v>
      </c>
      <c r="E17" s="72">
        <f t="shared" si="7"/>
        <v>188.7</v>
      </c>
      <c r="F17" s="72">
        <f t="shared" si="7"/>
        <v>0</v>
      </c>
      <c r="G17" s="71">
        <f>G18+G21</f>
        <v>192.89999999999998</v>
      </c>
      <c r="H17" s="72">
        <f t="shared" si="7"/>
        <v>198.5</v>
      </c>
      <c r="I17" s="65">
        <f t="shared" si="1"/>
        <v>1.051934287228405</v>
      </c>
      <c r="J17" s="65">
        <f t="shared" si="4"/>
        <v>0</v>
      </c>
      <c r="K17" s="71">
        <f>K18+K21</f>
        <v>203.60000000000002</v>
      </c>
      <c r="L17" s="65">
        <f t="shared" si="3"/>
        <v>0.97495088408644393</v>
      </c>
      <c r="M17" s="71">
        <f>M18+M21</f>
        <v>5.6</v>
      </c>
      <c r="N17" s="71">
        <f>N18+N21</f>
        <v>6.1000000000000005</v>
      </c>
      <c r="O17" s="65">
        <f t="shared" si="2"/>
        <v>0.91803278688524581</v>
      </c>
      <c r="P17" s="71">
        <f>P18+P21</f>
        <v>15.1</v>
      </c>
      <c r="Q17" s="71">
        <f>Q18+Q21</f>
        <v>12.3</v>
      </c>
      <c r="R17" s="71">
        <f>R18+R21</f>
        <v>14.7</v>
      </c>
      <c r="S17" s="26"/>
    </row>
    <row r="18" spans="1:20" ht="18">
      <c r="A18" s="13" t="s">
        <v>13</v>
      </c>
      <c r="B18" s="13">
        <v>1060600000</v>
      </c>
      <c r="C18" s="73">
        <f t="shared" ref="C18:H18" si="8">C19+C20</f>
        <v>147</v>
      </c>
      <c r="D18" s="73">
        <f t="shared" si="8"/>
        <v>30.7</v>
      </c>
      <c r="E18" s="67">
        <f t="shared" si="8"/>
        <v>177.7</v>
      </c>
      <c r="F18" s="67">
        <f t="shared" si="8"/>
        <v>0</v>
      </c>
      <c r="G18" s="73">
        <f>G19+G20</f>
        <v>186.89999999999998</v>
      </c>
      <c r="H18" s="67">
        <f t="shared" si="8"/>
        <v>189</v>
      </c>
      <c r="I18" s="69">
        <f t="shared" si="1"/>
        <v>1.063590320765335</v>
      </c>
      <c r="J18" s="69">
        <f t="shared" si="4"/>
        <v>0</v>
      </c>
      <c r="K18" s="73">
        <f>K19+K20</f>
        <v>193.10000000000002</v>
      </c>
      <c r="L18" s="69">
        <f t="shared" si="3"/>
        <v>0.97876747799067831</v>
      </c>
      <c r="M18" s="73">
        <f>M19+M20</f>
        <v>2.1</v>
      </c>
      <c r="N18" s="73">
        <f>N19+N20</f>
        <v>4.9000000000000004</v>
      </c>
      <c r="O18" s="69">
        <f t="shared" si="2"/>
        <v>0.42857142857142855</v>
      </c>
      <c r="P18" s="70">
        <f>P19+P20</f>
        <v>13</v>
      </c>
      <c r="Q18" s="70">
        <f>Q19+Q20</f>
        <v>10.9</v>
      </c>
      <c r="R18" s="70">
        <f>R19+R20</f>
        <v>11.9</v>
      </c>
      <c r="S18" s="26"/>
    </row>
    <row r="19" spans="1:20" ht="18">
      <c r="A19" s="13" t="s">
        <v>100</v>
      </c>
      <c r="B19" s="13">
        <v>1060603310</v>
      </c>
      <c r="C19" s="70">
        <v>110</v>
      </c>
      <c r="D19" s="67">
        <v>30.7</v>
      </c>
      <c r="E19" s="66">
        <f>C19+D19</f>
        <v>140.69999999999999</v>
      </c>
      <c r="F19" s="66"/>
      <c r="G19" s="70">
        <v>146.19999999999999</v>
      </c>
      <c r="H19" s="68">
        <f>G19+M19</f>
        <v>146.19999999999999</v>
      </c>
      <c r="I19" s="69">
        <f t="shared" si="1"/>
        <v>1.03909026297086</v>
      </c>
      <c r="J19" s="69">
        <f t="shared" si="4"/>
        <v>0</v>
      </c>
      <c r="K19" s="70">
        <v>155.80000000000001</v>
      </c>
      <c r="L19" s="69">
        <f t="shared" si="3"/>
        <v>0.9383825417201539</v>
      </c>
      <c r="M19" s="70"/>
      <c r="N19" s="70"/>
      <c r="O19" s="69">
        <f t="shared" si="2"/>
        <v>0</v>
      </c>
      <c r="P19" s="70"/>
      <c r="Q19" s="70"/>
      <c r="R19" s="70"/>
      <c r="S19" s="26"/>
    </row>
    <row r="20" spans="1:20" ht="18">
      <c r="A20" s="13" t="s">
        <v>101</v>
      </c>
      <c r="B20" s="13">
        <v>1060604310</v>
      </c>
      <c r="C20" s="70">
        <v>37</v>
      </c>
      <c r="D20" s="67"/>
      <c r="E20" s="66">
        <f>C20+D20</f>
        <v>37</v>
      </c>
      <c r="F20" s="66"/>
      <c r="G20" s="70">
        <v>40.700000000000003</v>
      </c>
      <c r="H20" s="68">
        <f>G20+M20</f>
        <v>42.800000000000004</v>
      </c>
      <c r="I20" s="69">
        <f t="shared" si="1"/>
        <v>1.1567567567567569</v>
      </c>
      <c r="J20" s="69">
        <f t="shared" si="4"/>
        <v>0</v>
      </c>
      <c r="K20" s="70">
        <v>37.299999999999997</v>
      </c>
      <c r="L20" s="69">
        <f t="shared" si="3"/>
        <v>1.1474530831099197</v>
      </c>
      <c r="M20" s="70">
        <v>2.1</v>
      </c>
      <c r="N20" s="70">
        <v>4.9000000000000004</v>
      </c>
      <c r="O20" s="69">
        <f t="shared" si="2"/>
        <v>0.42857142857142855</v>
      </c>
      <c r="P20" s="70">
        <v>13</v>
      </c>
      <c r="Q20" s="70">
        <v>10.9</v>
      </c>
      <c r="R20" s="70">
        <v>11.9</v>
      </c>
      <c r="S20" s="151"/>
      <c r="T20" s="145"/>
    </row>
    <row r="21" spans="1:20" ht="18">
      <c r="A21" s="13" t="s">
        <v>12</v>
      </c>
      <c r="B21" s="13">
        <v>1060103010</v>
      </c>
      <c r="C21" s="70">
        <v>11</v>
      </c>
      <c r="D21" s="67"/>
      <c r="E21" s="66">
        <f>C21+D21</f>
        <v>11</v>
      </c>
      <c r="F21" s="66"/>
      <c r="G21" s="70">
        <v>6</v>
      </c>
      <c r="H21" s="68">
        <f>G21+M21</f>
        <v>9.5</v>
      </c>
      <c r="I21" s="69">
        <f t="shared" si="1"/>
        <v>0.86363636363636365</v>
      </c>
      <c r="J21" s="69">
        <f t="shared" si="4"/>
        <v>0</v>
      </c>
      <c r="K21" s="70">
        <v>10.5</v>
      </c>
      <c r="L21" s="69">
        <f t="shared" si="3"/>
        <v>0.90476190476190477</v>
      </c>
      <c r="M21" s="70">
        <v>3.5</v>
      </c>
      <c r="N21" s="70">
        <v>1.2</v>
      </c>
      <c r="O21" s="69">
        <f t="shared" si="2"/>
        <v>2.916666666666667</v>
      </c>
      <c r="P21" s="70">
        <v>2.1</v>
      </c>
      <c r="Q21" s="70">
        <v>1.4</v>
      </c>
      <c r="R21" s="70">
        <v>2.8</v>
      </c>
      <c r="S21" s="151"/>
      <c r="T21" s="145"/>
    </row>
    <row r="22" spans="1:20" ht="18">
      <c r="A22" s="30" t="s">
        <v>72</v>
      </c>
      <c r="B22" s="30">
        <v>1080402001</v>
      </c>
      <c r="C22" s="71">
        <v>1</v>
      </c>
      <c r="D22" s="72">
        <v>-0.7</v>
      </c>
      <c r="E22" s="64">
        <f>C22+D22</f>
        <v>0.30000000000000004</v>
      </c>
      <c r="F22" s="64"/>
      <c r="G22" s="71">
        <v>0.3</v>
      </c>
      <c r="H22" s="74">
        <f>G22+M22</f>
        <v>0.3</v>
      </c>
      <c r="I22" s="65">
        <f t="shared" si="1"/>
        <v>0.99999999999999978</v>
      </c>
      <c r="J22" s="65">
        <f t="shared" si="4"/>
        <v>0</v>
      </c>
      <c r="K22" s="71">
        <v>1</v>
      </c>
      <c r="L22" s="65">
        <f t="shared" si="3"/>
        <v>0.3</v>
      </c>
      <c r="M22" s="71"/>
      <c r="N22" s="71"/>
      <c r="O22" s="65">
        <f t="shared" si="2"/>
        <v>0</v>
      </c>
      <c r="P22" s="71"/>
      <c r="Q22" s="71"/>
      <c r="R22" s="71"/>
      <c r="S22" s="26"/>
    </row>
    <row r="23" spans="1:20" ht="2.25" hidden="1" customHeight="1">
      <c r="A23" s="30" t="s">
        <v>73</v>
      </c>
      <c r="B23" s="30">
        <v>1090405010</v>
      </c>
      <c r="C23" s="71"/>
      <c r="D23" s="71"/>
      <c r="E23" s="64">
        <f>C23+D23</f>
        <v>0</v>
      </c>
      <c r="F23" s="64"/>
      <c r="G23" s="71"/>
      <c r="H23" s="74">
        <f>G23+M23</f>
        <v>0</v>
      </c>
      <c r="I23" s="65">
        <f t="shared" si="1"/>
        <v>0</v>
      </c>
      <c r="J23" s="65">
        <f t="shared" si="4"/>
        <v>0</v>
      </c>
      <c r="K23" s="71"/>
      <c r="L23" s="65">
        <f t="shared" si="3"/>
        <v>0</v>
      </c>
      <c r="M23" s="71"/>
      <c r="N23" s="71"/>
      <c r="O23" s="65">
        <f t="shared" si="2"/>
        <v>0</v>
      </c>
      <c r="P23" s="71"/>
      <c r="Q23" s="71"/>
      <c r="R23" s="71"/>
      <c r="S23" s="26"/>
    </row>
    <row r="24" spans="1:20" ht="18">
      <c r="A24" s="14" t="s">
        <v>22</v>
      </c>
      <c r="B24" s="32"/>
      <c r="C24" s="85">
        <f>C25+C29+C34+C30+C33+C31</f>
        <v>382</v>
      </c>
      <c r="D24" s="139">
        <f>D25+D29+D34+D30+D33+D31+D32</f>
        <v>-70.477000000000004</v>
      </c>
      <c r="E24" s="139">
        <f>E25+E29+E34+E30+E33+E31+E32</f>
        <v>311.52299999999997</v>
      </c>
      <c r="F24" s="85">
        <f>F25+F29+F34+F30+F33+F31</f>
        <v>0</v>
      </c>
      <c r="G24" s="85">
        <f>G25+G29+G34+G30+G33+G31+G32</f>
        <v>302.40000000000003</v>
      </c>
      <c r="H24" s="85">
        <f>H25+H29+H34+H30+H33+H31+H32</f>
        <v>317.3</v>
      </c>
      <c r="I24" s="63">
        <f t="shared" si="1"/>
        <v>1.0185443771406928</v>
      </c>
      <c r="J24" s="63">
        <f t="shared" si="4"/>
        <v>0</v>
      </c>
      <c r="K24" s="85">
        <f>K25+K29+K34+K30+K33+K31+K32</f>
        <v>711.6</v>
      </c>
      <c r="L24" s="63">
        <f t="shared" si="3"/>
        <v>0.44589657110736369</v>
      </c>
      <c r="M24" s="85">
        <f>M25+M29+M34+M30+M33+M31+M32</f>
        <v>14.9</v>
      </c>
      <c r="N24" s="85">
        <f>N25+N29+N34+N30+N33+N31+N32</f>
        <v>3.9</v>
      </c>
      <c r="O24" s="63">
        <f t="shared" si="2"/>
        <v>3.8205128205128207</v>
      </c>
      <c r="P24" s="75">
        <f>P25+P29+P33</f>
        <v>0</v>
      </c>
      <c r="Q24" s="75">
        <f>Q25+Q29+Q33</f>
        <v>0</v>
      </c>
      <c r="R24" s="75">
        <f>R25+R29+R33</f>
        <v>0</v>
      </c>
      <c r="S24" s="26"/>
    </row>
    <row r="25" spans="1:20" ht="18">
      <c r="A25" s="9" t="s">
        <v>74</v>
      </c>
      <c r="B25" s="30">
        <v>1110000000</v>
      </c>
      <c r="C25" s="71">
        <f>C27+C28+C26</f>
        <v>32</v>
      </c>
      <c r="D25" s="71">
        <f t="shared" ref="D25" si="9">D27+D28</f>
        <v>11.015000000000001</v>
      </c>
      <c r="E25" s="71">
        <f>E27+E28+E26</f>
        <v>43.015000000000001</v>
      </c>
      <c r="F25" s="71">
        <f t="shared" ref="F25:H25" si="10">F27+F28+F26</f>
        <v>0</v>
      </c>
      <c r="G25" s="71">
        <f t="shared" si="10"/>
        <v>33.900000000000006</v>
      </c>
      <c r="H25" s="71">
        <f t="shared" si="10"/>
        <v>48.8</v>
      </c>
      <c r="I25" s="86">
        <f t="shared" si="1"/>
        <v>1.1344879693130303</v>
      </c>
      <c r="J25" s="86">
        <f t="shared" si="4"/>
        <v>0</v>
      </c>
      <c r="K25" s="71">
        <f>K27+K28+K26</f>
        <v>44.3</v>
      </c>
      <c r="L25" s="86">
        <f t="shared" si="3"/>
        <v>1.1015801354401806</v>
      </c>
      <c r="M25" s="71">
        <f>M27+M28+M26</f>
        <v>14.9</v>
      </c>
      <c r="N25" s="71">
        <f>N27+N28+N26</f>
        <v>3.9</v>
      </c>
      <c r="O25" s="86">
        <f t="shared" si="2"/>
        <v>3.8205128205128207</v>
      </c>
      <c r="P25" s="71">
        <f>P27+P28+P26</f>
        <v>0</v>
      </c>
      <c r="Q25" s="71">
        <f>Q27+Q28</f>
        <v>0</v>
      </c>
      <c r="R25" s="71">
        <f>R27+R28</f>
        <v>0</v>
      </c>
      <c r="S25" s="26"/>
    </row>
    <row r="26" spans="1:20" ht="18">
      <c r="A26" s="15" t="s">
        <v>106</v>
      </c>
      <c r="B26" s="15">
        <v>1110502510</v>
      </c>
      <c r="C26" s="200"/>
      <c r="D26" s="200"/>
      <c r="E26" s="200"/>
      <c r="F26" s="200"/>
      <c r="G26" s="200"/>
      <c r="H26" s="67">
        <f t="shared" ref="H26:H33" si="11">G26+M26</f>
        <v>4.9000000000000004</v>
      </c>
      <c r="I26" s="76">
        <f t="shared" si="1"/>
        <v>0</v>
      </c>
      <c r="J26" s="243"/>
      <c r="K26" s="200"/>
      <c r="L26" s="76">
        <f t="shared" si="3"/>
        <v>0</v>
      </c>
      <c r="M26" s="200">
        <v>4.9000000000000004</v>
      </c>
      <c r="N26" s="200"/>
      <c r="O26" s="76">
        <f t="shared" si="2"/>
        <v>0</v>
      </c>
      <c r="P26" s="200"/>
      <c r="Q26" s="200"/>
      <c r="R26" s="200"/>
      <c r="S26" s="26"/>
    </row>
    <row r="27" spans="1:20" ht="18" customHeight="1">
      <c r="A27" s="28" t="s">
        <v>112</v>
      </c>
      <c r="B27" s="159">
        <v>1110507510</v>
      </c>
      <c r="C27" s="70">
        <v>12</v>
      </c>
      <c r="D27" s="67">
        <v>11</v>
      </c>
      <c r="E27" s="70">
        <f>C27+D27</f>
        <v>23</v>
      </c>
      <c r="F27" s="70"/>
      <c r="G27" s="70">
        <v>21.1</v>
      </c>
      <c r="H27" s="67">
        <f t="shared" si="11"/>
        <v>23</v>
      </c>
      <c r="I27" s="76">
        <f t="shared" si="1"/>
        <v>1</v>
      </c>
      <c r="J27" s="76">
        <f t="shared" si="4"/>
        <v>0</v>
      </c>
      <c r="K27" s="70">
        <v>23</v>
      </c>
      <c r="L27" s="76">
        <f t="shared" si="3"/>
        <v>1</v>
      </c>
      <c r="M27" s="70">
        <v>1.9</v>
      </c>
      <c r="N27" s="70"/>
      <c r="O27" s="76">
        <f t="shared" si="2"/>
        <v>0</v>
      </c>
      <c r="P27" s="70"/>
      <c r="Q27" s="70"/>
      <c r="R27" s="70"/>
      <c r="S27" s="26"/>
    </row>
    <row r="28" spans="1:20" ht="18">
      <c r="A28" s="33" t="s">
        <v>23</v>
      </c>
      <c r="B28" s="13">
        <v>1110904510</v>
      </c>
      <c r="C28" s="70">
        <v>20</v>
      </c>
      <c r="D28" s="82">
        <f>75.015-75</f>
        <v>1.5000000000000568E-2</v>
      </c>
      <c r="E28" s="70">
        <f>C28+D28</f>
        <v>20.015000000000001</v>
      </c>
      <c r="F28" s="70"/>
      <c r="G28" s="70">
        <v>12.8</v>
      </c>
      <c r="H28" s="67">
        <f t="shared" si="11"/>
        <v>20.9</v>
      </c>
      <c r="I28" s="76">
        <f t="shared" si="1"/>
        <v>1.0442168373719709</v>
      </c>
      <c r="J28" s="76">
        <f t="shared" si="4"/>
        <v>0</v>
      </c>
      <c r="K28" s="70">
        <v>21.3</v>
      </c>
      <c r="L28" s="76">
        <f t="shared" si="3"/>
        <v>0.98122065727699526</v>
      </c>
      <c r="M28" s="70">
        <v>8.1</v>
      </c>
      <c r="N28" s="70">
        <v>3.9</v>
      </c>
      <c r="O28" s="76">
        <f t="shared" si="2"/>
        <v>2.0769230769230771</v>
      </c>
      <c r="P28" s="70"/>
      <c r="Q28" s="70"/>
      <c r="R28" s="70"/>
      <c r="S28" s="26"/>
    </row>
    <row r="29" spans="1:20" ht="18">
      <c r="A29" s="9" t="s">
        <v>38</v>
      </c>
      <c r="B29" s="30">
        <v>1130299510</v>
      </c>
      <c r="C29" s="71"/>
      <c r="D29" s="71"/>
      <c r="E29" s="71">
        <f>C29+D29</f>
        <v>0</v>
      </c>
      <c r="F29" s="71"/>
      <c r="G29" s="71"/>
      <c r="H29" s="72">
        <f t="shared" si="11"/>
        <v>0</v>
      </c>
      <c r="I29" s="86">
        <f t="shared" si="1"/>
        <v>0</v>
      </c>
      <c r="J29" s="86">
        <f t="shared" si="4"/>
        <v>0</v>
      </c>
      <c r="K29" s="71">
        <v>16.8</v>
      </c>
      <c r="L29" s="86">
        <f t="shared" si="3"/>
        <v>0</v>
      </c>
      <c r="M29" s="71"/>
      <c r="N29" s="71"/>
      <c r="O29" s="86">
        <f t="shared" si="2"/>
        <v>0</v>
      </c>
      <c r="P29" s="71"/>
      <c r="Q29" s="71"/>
      <c r="R29" s="71"/>
      <c r="S29" s="26"/>
    </row>
    <row r="30" spans="1:20" ht="18">
      <c r="A30" s="9" t="s">
        <v>75</v>
      </c>
      <c r="B30" s="30">
        <v>1140205310</v>
      </c>
      <c r="C30" s="71"/>
      <c r="D30" s="71"/>
      <c r="E30" s="71">
        <f>C30+D30</f>
        <v>0</v>
      </c>
      <c r="F30" s="71"/>
      <c r="G30" s="71"/>
      <c r="H30" s="72">
        <f t="shared" si="11"/>
        <v>0</v>
      </c>
      <c r="I30" s="86">
        <f>IF(E30&gt;0,H30/E30,0)</f>
        <v>0</v>
      </c>
      <c r="J30" s="86">
        <f>IF(F30&gt;0,H30/F30,0)</f>
        <v>0</v>
      </c>
      <c r="K30" s="71"/>
      <c r="L30" s="86">
        <f t="shared" si="3"/>
        <v>0</v>
      </c>
      <c r="M30" s="71"/>
      <c r="N30" s="71"/>
      <c r="O30" s="86">
        <f t="shared" si="2"/>
        <v>0</v>
      </c>
      <c r="P30" s="71"/>
      <c r="Q30" s="71"/>
      <c r="R30" s="71"/>
      <c r="S30" s="26"/>
    </row>
    <row r="31" spans="1:20" ht="18">
      <c r="A31" s="9" t="s">
        <v>76</v>
      </c>
      <c r="B31" s="30">
        <v>1140601410</v>
      </c>
      <c r="C31" s="71"/>
      <c r="D31" s="71"/>
      <c r="E31" s="71">
        <f t="shared" ref="E31:E32" si="12">C31+D31</f>
        <v>0</v>
      </c>
      <c r="F31" s="71"/>
      <c r="G31" s="71"/>
      <c r="H31" s="72">
        <f t="shared" si="11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3"/>
        <v>0</v>
      </c>
      <c r="M31" s="71"/>
      <c r="N31" s="71"/>
      <c r="O31" s="86">
        <f t="shared" si="2"/>
        <v>0</v>
      </c>
      <c r="P31" s="71"/>
      <c r="Q31" s="71"/>
      <c r="R31" s="71"/>
      <c r="S31" s="26"/>
    </row>
    <row r="32" spans="1:20" ht="18">
      <c r="A32" s="9" t="s">
        <v>105</v>
      </c>
      <c r="B32" s="30">
        <v>1140602510</v>
      </c>
      <c r="C32" s="71"/>
      <c r="D32" s="71">
        <v>4.7939999999999996</v>
      </c>
      <c r="E32" s="71">
        <f t="shared" si="12"/>
        <v>4.7939999999999996</v>
      </c>
      <c r="F32" s="71"/>
      <c r="G32" s="71">
        <v>4.8</v>
      </c>
      <c r="H32" s="72">
        <f t="shared" si="11"/>
        <v>4.8</v>
      </c>
      <c r="I32" s="86">
        <f>IF(E32&gt;0,H32/E32,0)</f>
        <v>1.0012515644555695</v>
      </c>
      <c r="J32" s="86"/>
      <c r="K32" s="71"/>
      <c r="L32" s="86">
        <f t="shared" si="3"/>
        <v>0</v>
      </c>
      <c r="M32" s="71"/>
      <c r="N32" s="71"/>
      <c r="O32" s="86">
        <f t="shared" si="2"/>
        <v>0</v>
      </c>
      <c r="P32" s="71"/>
      <c r="Q32" s="71"/>
      <c r="R32" s="71"/>
      <c r="S32" s="26"/>
    </row>
    <row r="33" spans="1:20" ht="18">
      <c r="A33" s="9" t="s">
        <v>77</v>
      </c>
      <c r="B33" s="30">
        <v>1169005010</v>
      </c>
      <c r="C33" s="71"/>
      <c r="D33" s="71"/>
      <c r="E33" s="72">
        <f>C33+D33</f>
        <v>0</v>
      </c>
      <c r="F33" s="72"/>
      <c r="G33" s="71"/>
      <c r="H33" s="72">
        <f t="shared" si="11"/>
        <v>0</v>
      </c>
      <c r="I33" s="86">
        <f>IF(E33&gt;0,H33/E33,0)</f>
        <v>0</v>
      </c>
      <c r="J33" s="86">
        <f>IF(F33&gt;0,H33/F33,0)</f>
        <v>0</v>
      </c>
      <c r="K33" s="71"/>
      <c r="L33" s="86">
        <f t="shared" si="3"/>
        <v>0</v>
      </c>
      <c r="M33" s="71"/>
      <c r="N33" s="71"/>
      <c r="O33" s="86">
        <f t="shared" si="2"/>
        <v>0</v>
      </c>
      <c r="P33" s="71"/>
      <c r="Q33" s="71"/>
      <c r="R33" s="71"/>
      <c r="S33" s="26"/>
    </row>
    <row r="34" spans="1:20" ht="18">
      <c r="A34" s="9" t="s">
        <v>69</v>
      </c>
      <c r="B34" s="30">
        <v>1170000000</v>
      </c>
      <c r="C34" s="71">
        <f>SUM(C35:C37)</f>
        <v>350</v>
      </c>
      <c r="D34" s="71">
        <f t="shared" ref="D34:E34" si="13">SUM(D35:D37)</f>
        <v>-86.286000000000001</v>
      </c>
      <c r="E34" s="71">
        <f t="shared" si="13"/>
        <v>263.714</v>
      </c>
      <c r="F34" s="71">
        <f t="shared" ref="F34:R34" si="14">SUM(F35:F36)</f>
        <v>0</v>
      </c>
      <c r="G34" s="71">
        <f t="shared" ref="G34" si="15">SUM(G35:G37)</f>
        <v>263.7</v>
      </c>
      <c r="H34" s="71">
        <f t="shared" ref="H34" si="16">SUM(H35:H37)</f>
        <v>263.7</v>
      </c>
      <c r="I34" s="86">
        <f>IF(E34&gt;0,H34/E34,0)</f>
        <v>0.99994691218517029</v>
      </c>
      <c r="J34" s="86">
        <f>IF(F34&gt;0,H34/F34,0)</f>
        <v>0</v>
      </c>
      <c r="K34" s="71">
        <f t="shared" ref="K34" si="17">SUM(K35:K37)</f>
        <v>650.5</v>
      </c>
      <c r="L34" s="86">
        <f t="shared" si="3"/>
        <v>0.40538047655649501</v>
      </c>
      <c r="M34" s="71">
        <f t="shared" ref="M34:N34" si="18">SUM(M35:M37)</f>
        <v>0</v>
      </c>
      <c r="N34" s="71">
        <f t="shared" si="18"/>
        <v>0</v>
      </c>
      <c r="O34" s="71">
        <f t="shared" si="14"/>
        <v>0</v>
      </c>
      <c r="P34" s="71">
        <f t="shared" si="14"/>
        <v>0</v>
      </c>
      <c r="Q34" s="71">
        <f t="shared" si="14"/>
        <v>0</v>
      </c>
      <c r="R34" s="71">
        <f t="shared" si="14"/>
        <v>0</v>
      </c>
      <c r="S34" s="152"/>
      <c r="T34" s="145"/>
    </row>
    <row r="35" spans="1:20" ht="18">
      <c r="A35" s="13" t="s">
        <v>8</v>
      </c>
      <c r="B35" s="13">
        <v>1170103003</v>
      </c>
      <c r="C35" s="70"/>
      <c r="D35" s="70"/>
      <c r="E35" s="70">
        <f>C35+D35</f>
        <v>0</v>
      </c>
      <c r="F35" s="70"/>
      <c r="G35" s="70"/>
      <c r="H35" s="67">
        <f>G35+M35</f>
        <v>0</v>
      </c>
      <c r="I35" s="76">
        <f t="shared" si="1"/>
        <v>0</v>
      </c>
      <c r="J35" s="76">
        <f t="shared" si="4"/>
        <v>0</v>
      </c>
      <c r="K35" s="70"/>
      <c r="L35" s="76">
        <f t="shared" si="3"/>
        <v>0</v>
      </c>
      <c r="M35" s="70"/>
      <c r="N35" s="70"/>
      <c r="O35" s="76">
        <f t="shared" ref="O35:O44" si="19">IF(N35&gt;0,M35/N35,0)</f>
        <v>0</v>
      </c>
      <c r="P35" s="76"/>
      <c r="Q35" s="76"/>
      <c r="R35" s="76"/>
      <c r="S35" s="26"/>
    </row>
    <row r="36" spans="1:20" ht="18">
      <c r="A36" s="13" t="s">
        <v>33</v>
      </c>
      <c r="B36" s="13">
        <v>1170505010</v>
      </c>
      <c r="C36" s="70"/>
      <c r="D36" s="67"/>
      <c r="E36" s="70">
        <f>C36+D36</f>
        <v>0</v>
      </c>
      <c r="F36" s="70"/>
      <c r="G36" s="70"/>
      <c r="H36" s="67">
        <f>G36+M36</f>
        <v>0</v>
      </c>
      <c r="I36" s="76">
        <f>IF(E36&gt;0,H36/E36,0)</f>
        <v>0</v>
      </c>
      <c r="J36" s="76">
        <f>IF(F36&gt;0,H36/F36,0)</f>
        <v>0</v>
      </c>
      <c r="K36" s="70">
        <v>0.1</v>
      </c>
      <c r="L36" s="76">
        <f>IF(K36&gt;0,H36/K36,0)</f>
        <v>0</v>
      </c>
      <c r="M36" s="70"/>
      <c r="N36" s="70"/>
      <c r="O36" s="76">
        <f t="shared" si="19"/>
        <v>0</v>
      </c>
      <c r="P36" s="70"/>
      <c r="Q36" s="70"/>
      <c r="R36" s="70"/>
      <c r="S36" s="26"/>
    </row>
    <row r="37" spans="1:20" ht="18.75">
      <c r="A37" s="163" t="s">
        <v>114</v>
      </c>
      <c r="B37" s="163">
        <v>1171503010</v>
      </c>
      <c r="C37" s="70">
        <v>350</v>
      </c>
      <c r="D37" s="67">
        <v>-86.286000000000001</v>
      </c>
      <c r="E37" s="70">
        <f>C37+D37</f>
        <v>263.714</v>
      </c>
      <c r="F37" s="70"/>
      <c r="G37" s="70">
        <v>263.7</v>
      </c>
      <c r="H37" s="67">
        <f>G37+M37</f>
        <v>263.7</v>
      </c>
      <c r="I37" s="76">
        <f>IF(E37&gt;0,H37/E37,0)</f>
        <v>0.99994691218517029</v>
      </c>
      <c r="J37" s="69"/>
      <c r="K37" s="70">
        <v>650.4</v>
      </c>
      <c r="L37" s="76">
        <f>IF(K37&gt;0,H37/K37,0)</f>
        <v>0.40544280442804426</v>
      </c>
      <c r="M37" s="70"/>
      <c r="N37" s="70"/>
      <c r="O37" s="76">
        <f t="shared" si="19"/>
        <v>0</v>
      </c>
      <c r="P37" s="70"/>
      <c r="Q37" s="70"/>
      <c r="R37" s="70"/>
      <c r="S37" s="26"/>
    </row>
    <row r="38" spans="1:20" ht="18">
      <c r="A38" s="9" t="s">
        <v>6</v>
      </c>
      <c r="B38" s="9">
        <v>1000000000</v>
      </c>
      <c r="C38" s="77">
        <f t="shared" ref="C38:H38" si="20">C5+C24</f>
        <v>1805.4</v>
      </c>
      <c r="D38" s="77">
        <f t="shared" si="20"/>
        <v>4.5229999999999961</v>
      </c>
      <c r="E38" s="77">
        <f t="shared" si="20"/>
        <v>1809.923</v>
      </c>
      <c r="F38" s="78" t="e">
        <f t="shared" si="20"/>
        <v>#REF!</v>
      </c>
      <c r="G38" s="78">
        <f t="shared" si="20"/>
        <v>1761.4</v>
      </c>
      <c r="H38" s="78">
        <f t="shared" si="20"/>
        <v>1922.5999999999997</v>
      </c>
      <c r="I38" s="79">
        <f t="shared" si="1"/>
        <v>1.0622551346106988</v>
      </c>
      <c r="J38" s="79" t="e">
        <f t="shared" si="4"/>
        <v>#REF!</v>
      </c>
      <c r="K38" s="78">
        <f>K5+K24</f>
        <v>1839.6999999999998</v>
      </c>
      <c r="L38" s="79">
        <f t="shared" si="3"/>
        <v>1.0450616948415501</v>
      </c>
      <c r="M38" s="78">
        <f>M5+M24</f>
        <v>161.20000000000002</v>
      </c>
      <c r="N38" s="78">
        <f>N5+N24</f>
        <v>115.10000000000002</v>
      </c>
      <c r="O38" s="79">
        <f t="shared" si="19"/>
        <v>1.4005212858384013</v>
      </c>
      <c r="P38" s="78">
        <f>P5+P24</f>
        <v>61.3</v>
      </c>
      <c r="Q38" s="78">
        <f>Q5+Q24</f>
        <v>50.099999999999994</v>
      </c>
      <c r="R38" s="78">
        <f>R5+R24</f>
        <v>49.2</v>
      </c>
      <c r="S38" s="26"/>
    </row>
    <row r="39" spans="1:20" ht="18">
      <c r="A39" s="9" t="s">
        <v>92</v>
      </c>
      <c r="B39" s="9"/>
      <c r="C39" s="78">
        <f t="shared" ref="C39:H39" si="21">C38-C10</f>
        <v>1059.5</v>
      </c>
      <c r="D39" s="77">
        <f t="shared" si="21"/>
        <v>4.5229999999999961</v>
      </c>
      <c r="E39" s="77">
        <f t="shared" si="21"/>
        <v>1064.0229999999999</v>
      </c>
      <c r="F39" s="78" t="e">
        <f t="shared" si="21"/>
        <v>#REF!</v>
      </c>
      <c r="G39" s="78">
        <f t="shared" si="21"/>
        <v>1028.8000000000002</v>
      </c>
      <c r="H39" s="78">
        <f t="shared" si="21"/>
        <v>1122.4999999999998</v>
      </c>
      <c r="I39" s="79">
        <f>IF(E39&gt;0,H39/E39,0)</f>
        <v>1.0549583984556723</v>
      </c>
      <c r="J39" s="79" t="e">
        <f>IF(F39&gt;0,H39/F39,0)</f>
        <v>#REF!</v>
      </c>
      <c r="K39" s="78">
        <f>K38-K10</f>
        <v>1350.6</v>
      </c>
      <c r="L39" s="79">
        <f t="shared" si="3"/>
        <v>0.83111209832666955</v>
      </c>
      <c r="M39" s="78">
        <f>M38-M10</f>
        <v>93.700000000000017</v>
      </c>
      <c r="N39" s="78">
        <f>N38-N10</f>
        <v>67.700000000000017</v>
      </c>
      <c r="O39" s="79">
        <f t="shared" si="19"/>
        <v>1.3840472673559823</v>
      </c>
      <c r="P39" s="78"/>
      <c r="Q39" s="78"/>
      <c r="R39" s="78"/>
      <c r="S39" s="26"/>
    </row>
    <row r="40" spans="1:20" ht="18">
      <c r="A40" s="13" t="s">
        <v>36</v>
      </c>
      <c r="B40" s="166">
        <v>2000000000</v>
      </c>
      <c r="C40" s="70">
        <v>4872.7</v>
      </c>
      <c r="D40" s="82">
        <f>2529.221+150+200-633.936</f>
        <v>2245.2849999999999</v>
      </c>
      <c r="E40" s="80">
        <f>C40+D40</f>
        <v>7117.9849999999997</v>
      </c>
      <c r="F40" s="66"/>
      <c r="G40" s="70">
        <v>6259.1</v>
      </c>
      <c r="H40" s="67">
        <f>G40+M40</f>
        <v>7117.9000000000005</v>
      </c>
      <c r="I40" s="69">
        <f t="shared" si="1"/>
        <v>0.99998805841821825</v>
      </c>
      <c r="J40" s="69">
        <f t="shared" si="4"/>
        <v>0</v>
      </c>
      <c r="K40" s="70">
        <v>10364.5</v>
      </c>
      <c r="L40" s="69">
        <f t="shared" si="3"/>
        <v>0.68675768247382896</v>
      </c>
      <c r="M40" s="70">
        <v>858.8</v>
      </c>
      <c r="N40" s="70">
        <v>339.5</v>
      </c>
      <c r="O40" s="69">
        <f t="shared" si="19"/>
        <v>2.52960235640648</v>
      </c>
      <c r="P40" s="70"/>
      <c r="Q40" s="70"/>
      <c r="R40" s="70"/>
      <c r="S40" s="153"/>
    </row>
    <row r="41" spans="1:20" ht="18.75">
      <c r="A41" s="8" t="s">
        <v>113</v>
      </c>
      <c r="B41" s="165" t="s">
        <v>119</v>
      </c>
      <c r="C41" s="70"/>
      <c r="D41" s="82"/>
      <c r="E41" s="66">
        <f>C41+D41</f>
        <v>0</v>
      </c>
      <c r="F41" s="66"/>
      <c r="G41" s="70"/>
      <c r="H41" s="67">
        <f>G41+M41</f>
        <v>0</v>
      </c>
      <c r="I41" s="69">
        <f>IF(E41&gt;0,H41/E41,0)</f>
        <v>0</v>
      </c>
      <c r="J41" s="69">
        <f>IF(F41&gt;0,H41/F41,0)</f>
        <v>0</v>
      </c>
      <c r="K41" s="70">
        <v>13.9</v>
      </c>
      <c r="L41" s="69">
        <f t="shared" si="3"/>
        <v>0</v>
      </c>
      <c r="M41" s="70"/>
      <c r="N41" s="70"/>
      <c r="O41" s="69">
        <f t="shared" si="19"/>
        <v>0</v>
      </c>
      <c r="P41" s="70"/>
      <c r="Q41" s="70"/>
      <c r="R41" s="70"/>
      <c r="S41" s="26"/>
    </row>
    <row r="42" spans="1:20" ht="18">
      <c r="A42" s="13" t="s">
        <v>46</v>
      </c>
      <c r="B42" s="167" t="s">
        <v>120</v>
      </c>
      <c r="C42" s="70"/>
      <c r="D42" s="82">
        <v>1</v>
      </c>
      <c r="E42" s="66">
        <f>C42+D42</f>
        <v>1</v>
      </c>
      <c r="F42" s="66"/>
      <c r="G42" s="70">
        <v>1</v>
      </c>
      <c r="H42" s="67">
        <f>G42+M42</f>
        <v>1</v>
      </c>
      <c r="I42" s="69">
        <f>IF(E42&gt;0,H42/E42,0)</f>
        <v>1</v>
      </c>
      <c r="J42" s="69"/>
      <c r="K42" s="70">
        <v>51</v>
      </c>
      <c r="L42" s="69">
        <f t="shared" si="3"/>
        <v>1.9607843137254902E-2</v>
      </c>
      <c r="M42" s="70"/>
      <c r="N42" s="70"/>
      <c r="O42" s="69">
        <f t="shared" si="19"/>
        <v>0</v>
      </c>
      <c r="P42" s="70"/>
      <c r="Q42" s="70"/>
      <c r="R42" s="70"/>
      <c r="S42" s="26"/>
    </row>
    <row r="43" spans="1:20" ht="18">
      <c r="A43" s="8" t="s">
        <v>116</v>
      </c>
      <c r="B43" s="211" t="s">
        <v>126</v>
      </c>
      <c r="C43" s="70"/>
      <c r="D43" s="82"/>
      <c r="E43" s="66"/>
      <c r="F43" s="66"/>
      <c r="G43" s="70"/>
      <c r="H43" s="67">
        <f>G43+M43</f>
        <v>0</v>
      </c>
      <c r="I43" s="69">
        <f>IF(E43&gt;0,H43/E43,0)</f>
        <v>0</v>
      </c>
      <c r="J43" s="69"/>
      <c r="K43" s="70"/>
      <c r="L43" s="69"/>
      <c r="M43" s="70"/>
      <c r="N43" s="70"/>
      <c r="O43" s="69"/>
      <c r="P43" s="70"/>
      <c r="Q43" s="70"/>
      <c r="R43" s="70"/>
      <c r="S43" s="26"/>
    </row>
    <row r="44" spans="1:20" ht="18">
      <c r="A44" s="9" t="s">
        <v>2</v>
      </c>
      <c r="B44" s="9">
        <v>0</v>
      </c>
      <c r="C44" s="77">
        <f>C38+C40+C41+C42</f>
        <v>6678.1</v>
      </c>
      <c r="D44" s="77">
        <f>D38+D40+D41+D42</f>
        <v>2250.808</v>
      </c>
      <c r="E44" s="77">
        <f t="shared" ref="E44:F44" si="22">E38+E40+E41+E42</f>
        <v>8928.9079999999994</v>
      </c>
      <c r="F44" s="77" t="e">
        <f t="shared" si="22"/>
        <v>#REF!</v>
      </c>
      <c r="G44" s="78">
        <f>G38+G40+G41+G42+G43</f>
        <v>8021.5</v>
      </c>
      <c r="H44" s="78">
        <f>H38+H40+H41+H42+H43</f>
        <v>9041.5</v>
      </c>
      <c r="I44" s="79">
        <f t="shared" si="1"/>
        <v>1.0126098286598988</v>
      </c>
      <c r="J44" s="79" t="e">
        <f t="shared" si="4"/>
        <v>#REF!</v>
      </c>
      <c r="K44" s="78">
        <f>K38+K40+K41+K42</f>
        <v>12269.1</v>
      </c>
      <c r="L44" s="79">
        <f t="shared" si="3"/>
        <v>0.73693261934453214</v>
      </c>
      <c r="M44" s="78">
        <f>M38+M40+M41+M42+M43</f>
        <v>1020</v>
      </c>
      <c r="N44" s="78">
        <f t="shared" ref="N44" si="23">N38+N40+N41+N42</f>
        <v>454.6</v>
      </c>
      <c r="O44" s="79">
        <f t="shared" si="19"/>
        <v>2.2437307523097227</v>
      </c>
      <c r="P44" s="78">
        <f>P38+P40</f>
        <v>61.3</v>
      </c>
      <c r="Q44" s="78">
        <f>Q38+Q40</f>
        <v>50.099999999999994</v>
      </c>
      <c r="R44" s="78">
        <f>R38+R40</f>
        <v>49.2</v>
      </c>
      <c r="S44" s="26"/>
    </row>
  </sheetData>
  <mergeCells count="15">
    <mergeCell ref="C1:M1"/>
    <mergeCell ref="B2:R2"/>
    <mergeCell ref="G3:G4"/>
    <mergeCell ref="K3:L3"/>
    <mergeCell ref="H3:J3"/>
    <mergeCell ref="P3:R3"/>
    <mergeCell ref="N3:N4"/>
    <mergeCell ref="F3:F4"/>
    <mergeCell ref="O3:O4"/>
    <mergeCell ref="M3:M4"/>
    <mergeCell ref="A3:A4"/>
    <mergeCell ref="B3:B4"/>
    <mergeCell ref="C3:C4"/>
    <mergeCell ref="E3:E4"/>
    <mergeCell ref="D3:D4"/>
  </mergeCells>
  <phoneticPr fontId="0" type="noConversion"/>
  <pageMargins left="0.75" right="0.75" top="1" bottom="1" header="0.5" footer="0.5"/>
  <pageSetup paperSize="9" scale="56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zoomScaleNormal="100" workbookViewId="0">
      <pane xSplit="2" ySplit="4" topLeftCell="C31" activePane="bottomRight" state="frozen"/>
      <selection pane="topRight" activeCell="D1" sqref="D1"/>
      <selection pane="bottomLeft" activeCell="A5" sqref="A5"/>
      <selection pane="bottomRight" activeCell="R19" sqref="R19"/>
    </sheetView>
  </sheetViews>
  <sheetFormatPr defaultRowHeight="12.75"/>
  <cols>
    <col min="1" max="1" width="40" customWidth="1"/>
    <col min="2" max="2" width="14.5703125" customWidth="1"/>
    <col min="3" max="3" width="13.28515625" customWidth="1"/>
    <col min="4" max="4" width="14" customWidth="1"/>
    <col min="5" max="5" width="14.5703125" customWidth="1"/>
    <col min="6" max="6" width="10.7109375" hidden="1" customWidth="1"/>
    <col min="7" max="7" width="12.140625" customWidth="1"/>
    <col min="8" max="8" width="13.28515625" customWidth="1"/>
    <col min="9" max="9" width="12.28515625" customWidth="1"/>
    <col min="10" max="10" width="0.140625" customWidth="1"/>
    <col min="11" max="11" width="11.140625" customWidth="1"/>
    <col min="12" max="12" width="15.5703125" customWidth="1"/>
    <col min="13" max="14" width="11.7109375" customWidth="1"/>
    <col min="15" max="15" width="13.85546875" customWidth="1"/>
    <col min="16" max="16" width="10.5703125" customWidth="1"/>
    <col min="17" max="17" width="10.28515625" customWidth="1"/>
    <col min="18" max="18" width="10.140625" customWidth="1"/>
  </cols>
  <sheetData>
    <row r="1" spans="1:18" ht="15.75">
      <c r="A1" s="26"/>
      <c r="B1" s="47"/>
      <c r="C1" s="250" t="s">
        <v>11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48"/>
      <c r="O1" s="48"/>
      <c r="P1" s="26"/>
      <c r="Q1" s="26"/>
      <c r="R1" s="26"/>
    </row>
    <row r="2" spans="1:18" ht="15.75">
      <c r="A2" s="26"/>
      <c r="B2" s="255" t="s">
        <v>134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18" ht="13.5" customHeight="1">
      <c r="A3" s="245" t="s">
        <v>3</v>
      </c>
      <c r="B3" s="245" t="s">
        <v>4</v>
      </c>
      <c r="C3" s="245" t="s">
        <v>124</v>
      </c>
      <c r="D3" s="245" t="s">
        <v>24</v>
      </c>
      <c r="E3" s="245" t="s">
        <v>125</v>
      </c>
      <c r="F3" s="245" t="s">
        <v>99</v>
      </c>
      <c r="G3" s="245" t="s">
        <v>128</v>
      </c>
      <c r="H3" s="245" t="s">
        <v>123</v>
      </c>
      <c r="I3" s="245"/>
      <c r="J3" s="245"/>
      <c r="K3" s="245" t="s">
        <v>117</v>
      </c>
      <c r="L3" s="245"/>
      <c r="M3" s="245" t="s">
        <v>138</v>
      </c>
      <c r="N3" s="245" t="s">
        <v>139</v>
      </c>
      <c r="O3" s="245" t="s">
        <v>30</v>
      </c>
      <c r="P3" s="245" t="s">
        <v>9</v>
      </c>
      <c r="Q3" s="245"/>
      <c r="R3" s="245"/>
    </row>
    <row r="4" spans="1:18" ht="93.75" customHeight="1">
      <c r="A4" s="254"/>
      <c r="B4" s="254"/>
      <c r="C4" s="245"/>
      <c r="D4" s="245"/>
      <c r="E4" s="245"/>
      <c r="F4" s="245"/>
      <c r="G4" s="245"/>
      <c r="H4" s="210" t="s">
        <v>140</v>
      </c>
      <c r="I4" s="171" t="s">
        <v>10</v>
      </c>
      <c r="J4" s="171" t="s">
        <v>29</v>
      </c>
      <c r="K4" s="173" t="s">
        <v>140</v>
      </c>
      <c r="L4" s="171" t="s">
        <v>30</v>
      </c>
      <c r="M4" s="245"/>
      <c r="N4" s="245"/>
      <c r="O4" s="245"/>
      <c r="P4" s="121" t="s">
        <v>122</v>
      </c>
      <c r="Q4" s="121" t="s">
        <v>129</v>
      </c>
      <c r="R4" s="121" t="s">
        <v>132</v>
      </c>
    </row>
    <row r="5" spans="1:18" ht="19.5" customHeight="1">
      <c r="A5" s="29" t="s">
        <v>21</v>
      </c>
      <c r="B5" s="29"/>
      <c r="C5" s="88">
        <f t="shared" ref="C5:H5" si="0">C6+C15+C17+C22+C23+C10</f>
        <v>1740.4</v>
      </c>
      <c r="D5" s="88">
        <f t="shared" si="0"/>
        <v>165</v>
      </c>
      <c r="E5" s="135">
        <f t="shared" si="0"/>
        <v>1905.4</v>
      </c>
      <c r="F5" s="88" t="e">
        <f t="shared" si="0"/>
        <v>#REF!</v>
      </c>
      <c r="G5" s="88">
        <f t="shared" si="0"/>
        <v>1854.6</v>
      </c>
      <c r="H5" s="88">
        <f t="shared" si="0"/>
        <v>2060.9</v>
      </c>
      <c r="I5" s="89">
        <f t="shared" ref="I5:I42" si="1">IF(E5&gt;0,H5/E5,0)</f>
        <v>1.0816101605962003</v>
      </c>
      <c r="J5" s="89" t="e">
        <f>IF(F5&gt;0,H5/F5,0)</f>
        <v>#REF!</v>
      </c>
      <c r="K5" s="88">
        <f>K6+K15+K17+K22+K23+K10</f>
        <v>1743.1</v>
      </c>
      <c r="L5" s="89">
        <f>IF(K5&gt;0,H5/K5,0)</f>
        <v>1.1823188572084218</v>
      </c>
      <c r="M5" s="88">
        <f>M6+M15+M17+M22+M23+M10</f>
        <v>206.3</v>
      </c>
      <c r="N5" s="88">
        <f>N6+N15+N17+N22+N23+N10</f>
        <v>203.3</v>
      </c>
      <c r="O5" s="89">
        <f t="shared" ref="O5:O33" si="2">IF(N5&gt;0,M5/N5,0)</f>
        <v>1.0147565174618789</v>
      </c>
      <c r="P5" s="88">
        <f>P6+P15+P17+P22+P23+P10</f>
        <v>37.300000000000004</v>
      </c>
      <c r="Q5" s="88">
        <f>Q6+Q15+Q17+Q22+Q23+Q10</f>
        <v>32</v>
      </c>
      <c r="R5" s="88">
        <f>R6+R15+R17+R22+R23+R10</f>
        <v>43.2</v>
      </c>
    </row>
    <row r="6" spans="1:18" ht="18">
      <c r="A6" s="9" t="s">
        <v>63</v>
      </c>
      <c r="B6" s="30">
        <v>1010200001</v>
      </c>
      <c r="C6" s="71">
        <f>C7+C8+C9</f>
        <v>719.7</v>
      </c>
      <c r="D6" s="71">
        <f>D7+D8+D9</f>
        <v>120</v>
      </c>
      <c r="E6" s="71">
        <f>E7+E8+E9</f>
        <v>839.7</v>
      </c>
      <c r="F6" s="71" t="e">
        <f>F7+F8+F9+#REF!</f>
        <v>#REF!</v>
      </c>
      <c r="G6" s="71">
        <f>G7+G8+G9</f>
        <v>807.9</v>
      </c>
      <c r="H6" s="71">
        <f>H7+H8+H9</f>
        <v>924.8</v>
      </c>
      <c r="I6" s="86">
        <f t="shared" si="1"/>
        <v>1.1013457187090627</v>
      </c>
      <c r="J6" s="86" t="e">
        <f>IF(F6&gt;0,H6/F6,0)</f>
        <v>#REF!</v>
      </c>
      <c r="K6" s="71">
        <f>K7+K8+K9</f>
        <v>761.4</v>
      </c>
      <c r="L6" s="86">
        <f t="shared" ref="L6:L42" si="3">IF(K6&gt;0,H6/K6,0)</f>
        <v>1.2146046755975834</v>
      </c>
      <c r="M6" s="71">
        <f>M7+M8+M9</f>
        <v>116.89999999999999</v>
      </c>
      <c r="N6" s="71">
        <f>N7+N8+N9</f>
        <v>101.8</v>
      </c>
      <c r="O6" s="86">
        <f t="shared" si="2"/>
        <v>1.1483300589390961</v>
      </c>
      <c r="P6" s="71">
        <f>P7+P8+P9</f>
        <v>2.1</v>
      </c>
      <c r="Q6" s="71">
        <f>Q7+Q8+Q9</f>
        <v>17.899999999999999</v>
      </c>
      <c r="R6" s="71">
        <f>R7+R8+R9</f>
        <v>24.6</v>
      </c>
    </row>
    <row r="7" spans="1:18" ht="18" customHeight="1">
      <c r="A7" s="10" t="s">
        <v>44</v>
      </c>
      <c r="B7" s="13">
        <v>1010201001</v>
      </c>
      <c r="C7" s="70">
        <v>719.7</v>
      </c>
      <c r="D7" s="67">
        <v>120</v>
      </c>
      <c r="E7" s="70">
        <f>C7+D7</f>
        <v>839.7</v>
      </c>
      <c r="F7" s="70"/>
      <c r="G7" s="67">
        <v>801</v>
      </c>
      <c r="H7" s="67">
        <f>G7+M7</f>
        <v>915.8</v>
      </c>
      <c r="I7" s="76">
        <f t="shared" si="1"/>
        <v>1.0906276050970583</v>
      </c>
      <c r="J7" s="76">
        <f t="shared" ref="J7:J42" si="4">IF(F7&gt;0,H7/F7,0)</f>
        <v>0</v>
      </c>
      <c r="K7" s="67">
        <v>744.6</v>
      </c>
      <c r="L7" s="76">
        <f t="shared" si="3"/>
        <v>1.2299221058286327</v>
      </c>
      <c r="M7" s="67">
        <v>114.8</v>
      </c>
      <c r="N7" s="67">
        <v>101.8</v>
      </c>
      <c r="O7" s="76">
        <f t="shared" si="2"/>
        <v>1.1277013752455796</v>
      </c>
      <c r="P7" s="70">
        <v>1.9</v>
      </c>
      <c r="Q7" s="70">
        <v>17.899999999999999</v>
      </c>
      <c r="R7" s="70">
        <v>24.6</v>
      </c>
    </row>
    <row r="8" spans="1:18" ht="17.25" customHeight="1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4"/>
        <v>0</v>
      </c>
      <c r="K8" s="70"/>
      <c r="L8" s="76">
        <f>IF(K8&gt;0,H8/K8,0)</f>
        <v>0</v>
      </c>
      <c r="M8" s="70"/>
      <c r="N8" s="70"/>
      <c r="O8" s="76">
        <f>IF(N8&gt;0,M8/N8,0)</f>
        <v>0</v>
      </c>
      <c r="P8" s="70"/>
      <c r="Q8" s="70"/>
      <c r="R8" s="70"/>
    </row>
    <row r="9" spans="1:18" ht="17.25" customHeight="1">
      <c r="A9" s="10" t="s">
        <v>42</v>
      </c>
      <c r="B9" s="13">
        <v>1010203001</v>
      </c>
      <c r="C9" s="70"/>
      <c r="D9" s="70"/>
      <c r="E9" s="70">
        <f>C9+D9</f>
        <v>0</v>
      </c>
      <c r="F9" s="70"/>
      <c r="G9" s="70">
        <v>6.9</v>
      </c>
      <c r="H9" s="67">
        <f>G9+M9</f>
        <v>9</v>
      </c>
      <c r="I9" s="76">
        <f t="shared" si="1"/>
        <v>0</v>
      </c>
      <c r="J9" s="76">
        <f t="shared" si="4"/>
        <v>0</v>
      </c>
      <c r="K9" s="70">
        <v>16.8</v>
      </c>
      <c r="L9" s="76">
        <f t="shared" si="3"/>
        <v>0.5357142857142857</v>
      </c>
      <c r="M9" s="70">
        <v>2.1</v>
      </c>
      <c r="N9" s="70"/>
      <c r="O9" s="76">
        <f t="shared" si="2"/>
        <v>0</v>
      </c>
      <c r="P9" s="70">
        <v>0.2</v>
      </c>
      <c r="Q9" s="70"/>
      <c r="R9" s="70"/>
    </row>
    <row r="10" spans="1:18" ht="18" customHeight="1">
      <c r="A10" s="11" t="s">
        <v>48</v>
      </c>
      <c r="B10" s="19">
        <v>1030200001</v>
      </c>
      <c r="C10" s="71">
        <f t="shared" ref="C10" si="5">SUM(C11:C14)</f>
        <v>872.69999999999993</v>
      </c>
      <c r="D10" s="71">
        <f t="shared" ref="D10:H10" si="6">SUM(D11:D14)</f>
        <v>0</v>
      </c>
      <c r="E10" s="71">
        <f t="shared" si="6"/>
        <v>872.69999999999993</v>
      </c>
      <c r="F10" s="71"/>
      <c r="G10" s="71">
        <f>SUM(G11:G14)</f>
        <v>857.30000000000007</v>
      </c>
      <c r="H10" s="71">
        <f t="shared" si="6"/>
        <v>936.2</v>
      </c>
      <c r="I10" s="65">
        <f t="shared" si="1"/>
        <v>1.072762690500745</v>
      </c>
      <c r="J10" s="65">
        <f>IF(F10&gt;0,H10/F10,0)</f>
        <v>0</v>
      </c>
      <c r="K10" s="71">
        <f>SUM(K11:K14)</f>
        <v>881.3</v>
      </c>
      <c r="L10" s="65">
        <f t="shared" si="3"/>
        <v>1.0622943379099059</v>
      </c>
      <c r="M10" s="71">
        <f>SUM(M11:M14)</f>
        <v>78.900000000000006</v>
      </c>
      <c r="N10" s="71">
        <f>SUM(N11:N14)</f>
        <v>85.4</v>
      </c>
      <c r="O10" s="65">
        <f t="shared" si="2"/>
        <v>0.92388758782201408</v>
      </c>
      <c r="P10" s="71">
        <f>SUM(P11:P14)</f>
        <v>0</v>
      </c>
      <c r="Q10" s="71">
        <f>SUM(Q11:Q14)</f>
        <v>0</v>
      </c>
      <c r="R10" s="71">
        <f>SUM(R11:R14)</f>
        <v>0</v>
      </c>
    </row>
    <row r="11" spans="1:18" ht="19.5" customHeight="1">
      <c r="A11" s="12" t="s">
        <v>49</v>
      </c>
      <c r="B11" s="12">
        <v>1030223101</v>
      </c>
      <c r="C11" s="70">
        <v>455.2</v>
      </c>
      <c r="D11" s="70"/>
      <c r="E11" s="66">
        <f>C11+D11</f>
        <v>455.2</v>
      </c>
      <c r="F11" s="66"/>
      <c r="G11" s="70">
        <v>444.1</v>
      </c>
      <c r="H11" s="68">
        <f>G11+M11</f>
        <v>483.6</v>
      </c>
      <c r="I11" s="69">
        <f t="shared" si="1"/>
        <v>1.0623901581722321</v>
      </c>
      <c r="J11" s="69"/>
      <c r="K11" s="70">
        <v>456.7</v>
      </c>
      <c r="L11" s="69">
        <f t="shared" si="3"/>
        <v>1.0589008101598425</v>
      </c>
      <c r="M11" s="70">
        <v>39.5</v>
      </c>
      <c r="N11" s="70">
        <v>46</v>
      </c>
      <c r="O11" s="69">
        <f t="shared" si="2"/>
        <v>0.85869565217391308</v>
      </c>
      <c r="P11" s="70"/>
      <c r="Q11" s="70"/>
      <c r="R11" s="70"/>
    </row>
    <row r="12" spans="1:18" ht="17.25" customHeight="1">
      <c r="A12" s="12" t="s">
        <v>50</v>
      </c>
      <c r="B12" s="12">
        <v>1030224101</v>
      </c>
      <c r="C12" s="70">
        <v>2.2000000000000002</v>
      </c>
      <c r="D12" s="70"/>
      <c r="E12" s="66">
        <f>C12+D12</f>
        <v>2.2000000000000002</v>
      </c>
      <c r="F12" s="66"/>
      <c r="G12" s="70">
        <v>2.6</v>
      </c>
      <c r="H12" s="68">
        <f>G12+M12</f>
        <v>2.8000000000000003</v>
      </c>
      <c r="I12" s="69">
        <f t="shared" si="1"/>
        <v>1.2727272727272727</v>
      </c>
      <c r="J12" s="69"/>
      <c r="K12" s="70">
        <v>2.2999999999999998</v>
      </c>
      <c r="L12" s="69">
        <f t="shared" si="3"/>
        <v>1.2173913043478264</v>
      </c>
      <c r="M12" s="70">
        <v>0.2</v>
      </c>
      <c r="N12" s="70">
        <v>0.2</v>
      </c>
      <c r="O12" s="69">
        <f t="shared" si="2"/>
        <v>1</v>
      </c>
      <c r="P12" s="70"/>
      <c r="Q12" s="70"/>
      <c r="R12" s="70"/>
    </row>
    <row r="13" spans="1:18" ht="18" customHeight="1">
      <c r="A13" s="12" t="s">
        <v>90</v>
      </c>
      <c r="B13" s="12">
        <v>1030225101</v>
      </c>
      <c r="C13" s="70">
        <v>471.9</v>
      </c>
      <c r="D13" s="70"/>
      <c r="E13" s="66">
        <f>C13+D13</f>
        <v>471.9</v>
      </c>
      <c r="F13" s="66"/>
      <c r="G13" s="70">
        <v>459.6</v>
      </c>
      <c r="H13" s="68">
        <f>G13+M13</f>
        <v>502.3</v>
      </c>
      <c r="I13" s="69">
        <f t="shared" si="1"/>
        <v>1.0644204280567917</v>
      </c>
      <c r="J13" s="69"/>
      <c r="K13" s="70">
        <v>472</v>
      </c>
      <c r="L13" s="69">
        <f t="shared" si="3"/>
        <v>1.0641949152542374</v>
      </c>
      <c r="M13" s="70">
        <v>42.7</v>
      </c>
      <c r="N13" s="70">
        <v>43.3</v>
      </c>
      <c r="O13" s="69">
        <f t="shared" si="2"/>
        <v>0.98614318706697468</v>
      </c>
      <c r="P13" s="70"/>
      <c r="Q13" s="70"/>
      <c r="R13" s="70"/>
    </row>
    <row r="14" spans="1:18" ht="17.25" customHeight="1">
      <c r="A14" s="12" t="s">
        <v>52</v>
      </c>
      <c r="B14" s="12">
        <v>1030226101</v>
      </c>
      <c r="C14" s="70">
        <v>-56.6</v>
      </c>
      <c r="D14" s="70"/>
      <c r="E14" s="66">
        <f>C14+D14</f>
        <v>-56.6</v>
      </c>
      <c r="F14" s="66"/>
      <c r="G14" s="70">
        <v>-49</v>
      </c>
      <c r="H14" s="68">
        <f>G14+M14</f>
        <v>-52.5</v>
      </c>
      <c r="I14" s="69">
        <f>H14/E14</f>
        <v>0.92756183745583032</v>
      </c>
      <c r="J14" s="69"/>
      <c r="K14" s="70">
        <v>-49.7</v>
      </c>
      <c r="L14" s="69">
        <f t="shared" si="3"/>
        <v>0</v>
      </c>
      <c r="M14" s="70">
        <v>-3.5</v>
      </c>
      <c r="N14" s="70">
        <v>-4.0999999999999996</v>
      </c>
      <c r="O14" s="69">
        <f t="shared" si="2"/>
        <v>0</v>
      </c>
      <c r="P14" s="70"/>
      <c r="Q14" s="70"/>
      <c r="R14" s="70"/>
    </row>
    <row r="15" spans="1:18" ht="18">
      <c r="A15" s="9" t="s">
        <v>70</v>
      </c>
      <c r="B15" s="30">
        <v>1050000000</v>
      </c>
      <c r="C15" s="71">
        <f t="shared" ref="C15" si="7">C16</f>
        <v>0</v>
      </c>
      <c r="D15" s="72">
        <f t="shared" ref="D15:H15" si="8">D16</f>
        <v>0</v>
      </c>
      <c r="E15" s="72">
        <f t="shared" si="8"/>
        <v>0</v>
      </c>
      <c r="F15" s="72">
        <f t="shared" si="8"/>
        <v>0</v>
      </c>
      <c r="G15" s="71">
        <f>G16</f>
        <v>0</v>
      </c>
      <c r="H15" s="72">
        <f t="shared" si="8"/>
        <v>0</v>
      </c>
      <c r="I15" s="86">
        <f t="shared" si="1"/>
        <v>0</v>
      </c>
      <c r="J15" s="86">
        <f t="shared" si="4"/>
        <v>0</v>
      </c>
      <c r="K15" s="71">
        <f>K16</f>
        <v>0</v>
      </c>
      <c r="L15" s="86">
        <f t="shared" si="3"/>
        <v>0</v>
      </c>
      <c r="M15" s="71">
        <f>M16</f>
        <v>0</v>
      </c>
      <c r="N15" s="71">
        <f>N16</f>
        <v>0</v>
      </c>
      <c r="O15" s="86">
        <f t="shared" si="2"/>
        <v>0</v>
      </c>
      <c r="P15" s="71">
        <f>P16</f>
        <v>0</v>
      </c>
      <c r="Q15" s="71">
        <f>Q16</f>
        <v>0</v>
      </c>
      <c r="R15" s="71">
        <f>R16</f>
        <v>0</v>
      </c>
    </row>
    <row r="16" spans="1:18" ht="18">
      <c r="A16" s="13" t="s">
        <v>7</v>
      </c>
      <c r="B16" s="13">
        <v>1050300001</v>
      </c>
      <c r="C16" s="70"/>
      <c r="D16" s="67"/>
      <c r="E16" s="70">
        <f>C16+D16</f>
        <v>0</v>
      </c>
      <c r="F16" s="70"/>
      <c r="G16" s="70"/>
      <c r="H16" s="67">
        <f>G16+M16</f>
        <v>0</v>
      </c>
      <c r="I16" s="76">
        <f t="shared" si="1"/>
        <v>0</v>
      </c>
      <c r="J16" s="76">
        <f t="shared" si="4"/>
        <v>0</v>
      </c>
      <c r="K16" s="70"/>
      <c r="L16" s="76">
        <f t="shared" si="3"/>
        <v>0</v>
      </c>
      <c r="M16" s="70"/>
      <c r="N16" s="70"/>
      <c r="O16" s="76">
        <f t="shared" si="2"/>
        <v>0</v>
      </c>
      <c r="P16" s="70"/>
      <c r="Q16" s="70"/>
      <c r="R16" s="70"/>
    </row>
    <row r="17" spans="1:20" ht="18">
      <c r="A17" s="9" t="s">
        <v>71</v>
      </c>
      <c r="B17" s="30">
        <v>1060000000</v>
      </c>
      <c r="C17" s="71">
        <f t="shared" ref="C17" si="9">C18+C21</f>
        <v>145</v>
      </c>
      <c r="D17" s="72">
        <f t="shared" ref="D17:H17" si="10">D18+D21</f>
        <v>45</v>
      </c>
      <c r="E17" s="72">
        <f t="shared" si="10"/>
        <v>190</v>
      </c>
      <c r="F17" s="72">
        <f t="shared" si="10"/>
        <v>0</v>
      </c>
      <c r="G17" s="71">
        <f>G18+G21</f>
        <v>186.2</v>
      </c>
      <c r="H17" s="72">
        <f t="shared" si="10"/>
        <v>196.5</v>
      </c>
      <c r="I17" s="86">
        <f t="shared" si="1"/>
        <v>1.0342105263157895</v>
      </c>
      <c r="J17" s="86">
        <f t="shared" si="4"/>
        <v>0</v>
      </c>
      <c r="K17" s="71">
        <f>K18+K21</f>
        <v>96.3</v>
      </c>
      <c r="L17" s="86">
        <f t="shared" si="3"/>
        <v>2.0404984423676011</v>
      </c>
      <c r="M17" s="71">
        <f>M18+M21</f>
        <v>10.3</v>
      </c>
      <c r="N17" s="71">
        <f>N18+N21</f>
        <v>15.700000000000001</v>
      </c>
      <c r="O17" s="86">
        <f t="shared" si="2"/>
        <v>0.6560509554140127</v>
      </c>
      <c r="P17" s="71">
        <f>P18+P21</f>
        <v>35.200000000000003</v>
      </c>
      <c r="Q17" s="71">
        <f>Q18+Q21</f>
        <v>14.1</v>
      </c>
      <c r="R17" s="71">
        <f>R18+R21</f>
        <v>18.600000000000001</v>
      </c>
    </row>
    <row r="18" spans="1:20" ht="18">
      <c r="A18" s="13" t="s">
        <v>13</v>
      </c>
      <c r="B18" s="13">
        <v>1060600000</v>
      </c>
      <c r="C18" s="70">
        <f t="shared" ref="C18" si="11">C19+C20</f>
        <v>110</v>
      </c>
      <c r="D18" s="67">
        <f t="shared" ref="D18:H18" si="12">D19+D20</f>
        <v>45</v>
      </c>
      <c r="E18" s="67">
        <f t="shared" si="12"/>
        <v>155</v>
      </c>
      <c r="F18" s="67">
        <f t="shared" si="12"/>
        <v>0</v>
      </c>
      <c r="G18" s="70">
        <f>G19+G20</f>
        <v>160.5</v>
      </c>
      <c r="H18" s="67">
        <f t="shared" si="12"/>
        <v>164.2</v>
      </c>
      <c r="I18" s="76">
        <f t="shared" si="1"/>
        <v>1.0593548387096774</v>
      </c>
      <c r="J18" s="76">
        <f t="shared" si="4"/>
        <v>0</v>
      </c>
      <c r="K18" s="70">
        <f>K19+K20</f>
        <v>61.3</v>
      </c>
      <c r="L18" s="76">
        <f t="shared" si="3"/>
        <v>2.6786296900489397</v>
      </c>
      <c r="M18" s="70">
        <f>M19+M20</f>
        <v>3.7</v>
      </c>
      <c r="N18" s="70">
        <f>N19+N20</f>
        <v>7.4</v>
      </c>
      <c r="O18" s="76">
        <f t="shared" si="2"/>
        <v>0.5</v>
      </c>
      <c r="P18" s="70">
        <f>P19+P20</f>
        <v>30</v>
      </c>
      <c r="Q18" s="70">
        <f>Q19+Q20</f>
        <v>10.7</v>
      </c>
      <c r="R18" s="70">
        <f>R19+R20</f>
        <v>12.9</v>
      </c>
    </row>
    <row r="19" spans="1:20" ht="18">
      <c r="A19" s="13" t="s">
        <v>100</v>
      </c>
      <c r="B19" s="13">
        <v>1060603310</v>
      </c>
      <c r="C19" s="70">
        <v>76</v>
      </c>
      <c r="D19" s="67">
        <v>45</v>
      </c>
      <c r="E19" s="70">
        <f>C19+D19</f>
        <v>121</v>
      </c>
      <c r="F19" s="70"/>
      <c r="G19" s="70">
        <v>131.6</v>
      </c>
      <c r="H19" s="67">
        <f>G19+M19</f>
        <v>131.6</v>
      </c>
      <c r="I19" s="76">
        <f t="shared" si="1"/>
        <v>1.087603305785124</v>
      </c>
      <c r="J19" s="76">
        <f t="shared" si="4"/>
        <v>0</v>
      </c>
      <c r="K19" s="70">
        <v>29.6</v>
      </c>
      <c r="L19" s="76">
        <f t="shared" si="3"/>
        <v>4.4459459459459456</v>
      </c>
      <c r="M19" s="70"/>
      <c r="N19" s="70"/>
      <c r="O19" s="76">
        <f t="shared" si="2"/>
        <v>0</v>
      </c>
      <c r="P19" s="70">
        <v>13.4</v>
      </c>
      <c r="Q19" s="70"/>
      <c r="R19" s="70"/>
    </row>
    <row r="20" spans="1:20" ht="18">
      <c r="A20" s="13" t="s">
        <v>101</v>
      </c>
      <c r="B20" s="13">
        <v>1060604310</v>
      </c>
      <c r="C20" s="70">
        <v>34</v>
      </c>
      <c r="D20" s="67"/>
      <c r="E20" s="70">
        <f>C20+D20</f>
        <v>34</v>
      </c>
      <c r="F20" s="70"/>
      <c r="G20" s="70">
        <v>28.9</v>
      </c>
      <c r="H20" s="67">
        <f>G20+M20</f>
        <v>32.6</v>
      </c>
      <c r="I20" s="76">
        <f t="shared" si="1"/>
        <v>0.95882352941176474</v>
      </c>
      <c r="J20" s="76">
        <f t="shared" si="4"/>
        <v>0</v>
      </c>
      <c r="K20" s="70">
        <v>31.7</v>
      </c>
      <c r="L20" s="76">
        <f t="shared" si="3"/>
        <v>1.0283911671924291</v>
      </c>
      <c r="M20" s="70">
        <v>3.7</v>
      </c>
      <c r="N20" s="70">
        <v>7.4</v>
      </c>
      <c r="O20" s="76">
        <f t="shared" si="2"/>
        <v>0.5</v>
      </c>
      <c r="P20" s="70">
        <v>16.600000000000001</v>
      </c>
      <c r="Q20" s="70">
        <v>10.7</v>
      </c>
      <c r="R20" s="70">
        <v>12.9</v>
      </c>
    </row>
    <row r="21" spans="1:20" ht="18">
      <c r="A21" s="13" t="s">
        <v>12</v>
      </c>
      <c r="B21" s="13">
        <v>1060103010</v>
      </c>
      <c r="C21" s="70">
        <v>35</v>
      </c>
      <c r="D21" s="67"/>
      <c r="E21" s="70">
        <f>C21+D21</f>
        <v>35</v>
      </c>
      <c r="F21" s="70"/>
      <c r="G21" s="70">
        <v>25.7</v>
      </c>
      <c r="H21" s="67">
        <f>G21+M21</f>
        <v>32.299999999999997</v>
      </c>
      <c r="I21" s="76">
        <f t="shared" si="1"/>
        <v>0.92285714285714282</v>
      </c>
      <c r="J21" s="76">
        <f t="shared" si="4"/>
        <v>0</v>
      </c>
      <c r="K21" s="70">
        <v>35</v>
      </c>
      <c r="L21" s="76">
        <f t="shared" si="3"/>
        <v>0.92285714285714282</v>
      </c>
      <c r="M21" s="70">
        <v>6.6</v>
      </c>
      <c r="N21" s="70">
        <v>8.3000000000000007</v>
      </c>
      <c r="O21" s="76">
        <f t="shared" si="2"/>
        <v>0.79518072289156616</v>
      </c>
      <c r="P21" s="70">
        <v>5.2</v>
      </c>
      <c r="Q21" s="70">
        <v>3.4</v>
      </c>
      <c r="R21" s="70">
        <v>5.7</v>
      </c>
      <c r="S21" s="127"/>
      <c r="T21" s="145"/>
    </row>
    <row r="22" spans="1:20" ht="18">
      <c r="A22" s="9" t="s">
        <v>72</v>
      </c>
      <c r="B22" s="30">
        <v>1080402001</v>
      </c>
      <c r="C22" s="71">
        <v>3</v>
      </c>
      <c r="D22" s="72"/>
      <c r="E22" s="71">
        <f>C22+D22</f>
        <v>3</v>
      </c>
      <c r="F22" s="71"/>
      <c r="G22" s="71">
        <v>3.2</v>
      </c>
      <c r="H22" s="72">
        <f>G22+M22</f>
        <v>3.4000000000000004</v>
      </c>
      <c r="I22" s="86">
        <f t="shared" si="1"/>
        <v>1.1333333333333335</v>
      </c>
      <c r="J22" s="86">
        <f t="shared" si="4"/>
        <v>0</v>
      </c>
      <c r="K22" s="71">
        <v>4.0999999999999996</v>
      </c>
      <c r="L22" s="86">
        <f t="shared" si="3"/>
        <v>0.82926829268292701</v>
      </c>
      <c r="M22" s="71">
        <v>0.2</v>
      </c>
      <c r="N22" s="71">
        <v>0.4</v>
      </c>
      <c r="O22" s="86">
        <f t="shared" si="2"/>
        <v>0.5</v>
      </c>
      <c r="P22" s="71"/>
      <c r="Q22" s="71"/>
      <c r="R22" s="71"/>
    </row>
    <row r="23" spans="1:20" ht="18" hidden="1">
      <c r="A23" s="9" t="s">
        <v>73</v>
      </c>
      <c r="B23" s="30">
        <v>1090405010</v>
      </c>
      <c r="C23" s="71"/>
      <c r="D23" s="71"/>
      <c r="E23" s="71">
        <f>C23+D23</f>
        <v>0</v>
      </c>
      <c r="F23" s="71"/>
      <c r="G23" s="71"/>
      <c r="H23" s="72">
        <f>G23+M23</f>
        <v>0</v>
      </c>
      <c r="I23" s="86">
        <f t="shared" si="1"/>
        <v>0</v>
      </c>
      <c r="J23" s="86">
        <f t="shared" si="4"/>
        <v>0</v>
      </c>
      <c r="K23" s="71"/>
      <c r="L23" s="86">
        <f t="shared" si="3"/>
        <v>0</v>
      </c>
      <c r="M23" s="71"/>
      <c r="N23" s="71"/>
      <c r="O23" s="86">
        <f t="shared" si="2"/>
        <v>0</v>
      </c>
      <c r="P23" s="71"/>
      <c r="Q23" s="71"/>
      <c r="R23" s="71"/>
    </row>
    <row r="24" spans="1:20" ht="18">
      <c r="A24" s="32" t="s">
        <v>22</v>
      </c>
      <c r="B24" s="32"/>
      <c r="C24" s="85">
        <f t="shared" ref="C24:H24" si="13">C25+C29+C33+C31+C32+C30</f>
        <v>240</v>
      </c>
      <c r="D24" s="85">
        <f t="shared" si="13"/>
        <v>74.81</v>
      </c>
      <c r="E24" s="85">
        <f t="shared" si="13"/>
        <v>314.81</v>
      </c>
      <c r="F24" s="85">
        <f t="shared" si="13"/>
        <v>0</v>
      </c>
      <c r="G24" s="85">
        <f>G25+G29+G33+G31+G32+G30</f>
        <v>292.59999999999997</v>
      </c>
      <c r="H24" s="85">
        <f t="shared" si="13"/>
        <v>293.5</v>
      </c>
      <c r="I24" s="89">
        <f t="shared" si="1"/>
        <v>0.93230837648105203</v>
      </c>
      <c r="J24" s="89">
        <f t="shared" si="4"/>
        <v>0</v>
      </c>
      <c r="K24" s="85">
        <f>K25+K29+K33+K31+K32+K30</f>
        <v>15.1</v>
      </c>
      <c r="L24" s="89">
        <f t="shared" si="3"/>
        <v>19.437086092715234</v>
      </c>
      <c r="M24" s="85">
        <f>M25+M29+M33+M31+M32+M30</f>
        <v>0.9</v>
      </c>
      <c r="N24" s="85">
        <f>N25+N29+N33+N31+N32+N30</f>
        <v>0.6</v>
      </c>
      <c r="O24" s="89">
        <f t="shared" si="2"/>
        <v>1.5</v>
      </c>
      <c r="P24" s="75">
        <f>P25+P29+P32</f>
        <v>0</v>
      </c>
      <c r="Q24" s="75">
        <f>Q25+Q29+Q32</f>
        <v>0</v>
      </c>
      <c r="R24" s="75">
        <f>R25+R29+R32</f>
        <v>0</v>
      </c>
    </row>
    <row r="25" spans="1:20" ht="18">
      <c r="A25" s="9" t="s">
        <v>74</v>
      </c>
      <c r="B25" s="30">
        <v>1110000000</v>
      </c>
      <c r="C25" s="71">
        <f t="shared" ref="C25:H25" si="14">C26+C28+C27</f>
        <v>15</v>
      </c>
      <c r="D25" s="71">
        <f t="shared" si="14"/>
        <v>24.7</v>
      </c>
      <c r="E25" s="71">
        <f t="shared" si="14"/>
        <v>39.700000000000003</v>
      </c>
      <c r="F25" s="71">
        <f t="shared" si="14"/>
        <v>0</v>
      </c>
      <c r="G25" s="71">
        <f>G26+G28+G27</f>
        <v>16.2</v>
      </c>
      <c r="H25" s="71">
        <f t="shared" si="14"/>
        <v>17.099999999999998</v>
      </c>
      <c r="I25" s="86">
        <f t="shared" si="1"/>
        <v>0.4307304785894206</v>
      </c>
      <c r="J25" s="86">
        <f t="shared" si="4"/>
        <v>0</v>
      </c>
      <c r="K25" s="71">
        <f>K26+K28+K27</f>
        <v>15.1</v>
      </c>
      <c r="L25" s="86">
        <f t="shared" si="3"/>
        <v>1.1324503311258276</v>
      </c>
      <c r="M25" s="71">
        <f>M26+M28+M27</f>
        <v>0.9</v>
      </c>
      <c r="N25" s="71">
        <f>N26+N28+N27</f>
        <v>0.6</v>
      </c>
      <c r="O25" s="86">
        <f t="shared" si="2"/>
        <v>1.5</v>
      </c>
      <c r="P25" s="71">
        <f>P26+P28+P27</f>
        <v>0</v>
      </c>
      <c r="Q25" s="71">
        <f>Q26+Q28+Q27</f>
        <v>0</v>
      </c>
      <c r="R25" s="71">
        <f>R26+R28+R27</f>
        <v>0</v>
      </c>
    </row>
    <row r="26" spans="1:20" ht="0.75" customHeight="1">
      <c r="A26" s="13" t="s">
        <v>26</v>
      </c>
      <c r="B26" s="13">
        <v>1110501013</v>
      </c>
      <c r="C26" s="70"/>
      <c r="D26" s="67"/>
      <c r="E26" s="70">
        <f t="shared" ref="E26:E32" si="15">C26+D26</f>
        <v>0</v>
      </c>
      <c r="F26" s="70"/>
      <c r="G26" s="70"/>
      <c r="H26" s="67">
        <f t="shared" ref="H26:H32" si="16">G26+M26</f>
        <v>0</v>
      </c>
      <c r="I26" s="76">
        <f t="shared" si="1"/>
        <v>0</v>
      </c>
      <c r="J26" s="76">
        <f t="shared" si="4"/>
        <v>0</v>
      </c>
      <c r="K26" s="70"/>
      <c r="L26" s="76">
        <f t="shared" si="3"/>
        <v>0</v>
      </c>
      <c r="M26" s="70"/>
      <c r="N26" s="70"/>
      <c r="O26" s="76">
        <f t="shared" si="2"/>
        <v>0</v>
      </c>
      <c r="P26" s="70"/>
      <c r="Q26" s="70"/>
      <c r="R26" s="70"/>
    </row>
    <row r="27" spans="1:20" ht="21" hidden="1" customHeight="1">
      <c r="A27" s="13" t="s">
        <v>27</v>
      </c>
      <c r="B27" s="13">
        <v>1110903510</v>
      </c>
      <c r="C27" s="70"/>
      <c r="D27" s="67"/>
      <c r="E27" s="70">
        <f t="shared" si="15"/>
        <v>0</v>
      </c>
      <c r="F27" s="70"/>
      <c r="G27" s="70"/>
      <c r="H27" s="67">
        <f t="shared" si="16"/>
        <v>0</v>
      </c>
      <c r="I27" s="76">
        <f t="shared" si="1"/>
        <v>0</v>
      </c>
      <c r="J27" s="76">
        <f t="shared" si="4"/>
        <v>0</v>
      </c>
      <c r="K27" s="70"/>
      <c r="L27" s="76">
        <f t="shared" si="3"/>
        <v>0</v>
      </c>
      <c r="M27" s="70"/>
      <c r="N27" s="70"/>
      <c r="O27" s="76">
        <f t="shared" si="2"/>
        <v>0</v>
      </c>
      <c r="P27" s="70"/>
      <c r="Q27" s="70"/>
      <c r="R27" s="70"/>
    </row>
    <row r="28" spans="1:20" ht="22.5" customHeight="1">
      <c r="A28" s="33" t="s">
        <v>23</v>
      </c>
      <c r="B28" s="13">
        <v>1110904510</v>
      </c>
      <c r="C28" s="70">
        <v>15</v>
      </c>
      <c r="D28" s="81">
        <v>24.7</v>
      </c>
      <c r="E28" s="70">
        <f t="shared" si="15"/>
        <v>39.700000000000003</v>
      </c>
      <c r="F28" s="70"/>
      <c r="G28" s="70">
        <v>16.2</v>
      </c>
      <c r="H28" s="67">
        <f t="shared" si="16"/>
        <v>17.099999999999998</v>
      </c>
      <c r="I28" s="76">
        <f t="shared" si="1"/>
        <v>0.4307304785894206</v>
      </c>
      <c r="J28" s="76">
        <f t="shared" si="4"/>
        <v>0</v>
      </c>
      <c r="K28" s="70">
        <v>15.1</v>
      </c>
      <c r="L28" s="76">
        <f t="shared" si="3"/>
        <v>1.1324503311258276</v>
      </c>
      <c r="M28" s="70">
        <v>0.9</v>
      </c>
      <c r="N28" s="70">
        <v>0.6</v>
      </c>
      <c r="O28" s="76">
        <f t="shared" si="2"/>
        <v>1.5</v>
      </c>
      <c r="P28" s="70"/>
      <c r="Q28" s="70"/>
      <c r="R28" s="70"/>
    </row>
    <row r="29" spans="1:20" ht="18">
      <c r="A29" s="9" t="s">
        <v>38</v>
      </c>
      <c r="B29" s="30">
        <v>1130299510</v>
      </c>
      <c r="C29" s="71"/>
      <c r="D29" s="71"/>
      <c r="E29" s="71">
        <f t="shared" si="15"/>
        <v>0</v>
      </c>
      <c r="F29" s="71"/>
      <c r="G29" s="71"/>
      <c r="H29" s="72">
        <f t="shared" si="16"/>
        <v>0</v>
      </c>
      <c r="I29" s="86">
        <f t="shared" si="1"/>
        <v>0</v>
      </c>
      <c r="J29" s="86">
        <f t="shared" si="4"/>
        <v>0</v>
      </c>
      <c r="K29" s="71"/>
      <c r="L29" s="86">
        <f t="shared" si="3"/>
        <v>0</v>
      </c>
      <c r="M29" s="71"/>
      <c r="N29" s="71"/>
      <c r="O29" s="86">
        <f t="shared" si="2"/>
        <v>0</v>
      </c>
      <c r="P29" s="71"/>
      <c r="Q29" s="71"/>
      <c r="R29" s="71"/>
    </row>
    <row r="30" spans="1:20" ht="18">
      <c r="A30" s="9" t="s">
        <v>45</v>
      </c>
      <c r="B30" s="30">
        <v>1140205310</v>
      </c>
      <c r="C30" s="71"/>
      <c r="D30" s="71">
        <v>50.11</v>
      </c>
      <c r="E30" s="71">
        <f t="shared" si="15"/>
        <v>50.11</v>
      </c>
      <c r="F30" s="71"/>
      <c r="G30" s="71">
        <v>51.4</v>
      </c>
      <c r="H30" s="72">
        <f t="shared" si="16"/>
        <v>51.4</v>
      </c>
      <c r="I30" s="86">
        <f t="shared" si="1"/>
        <v>1.0257433645978846</v>
      </c>
      <c r="J30" s="86"/>
      <c r="K30" s="71"/>
      <c r="L30" s="86">
        <f t="shared" si="3"/>
        <v>0</v>
      </c>
      <c r="M30" s="71"/>
      <c r="N30" s="71"/>
      <c r="O30" s="86">
        <f t="shared" si="2"/>
        <v>0</v>
      </c>
      <c r="P30" s="71"/>
      <c r="Q30" s="71"/>
      <c r="R30" s="71"/>
    </row>
    <row r="31" spans="1:20" ht="18">
      <c r="A31" s="9" t="s">
        <v>78</v>
      </c>
      <c r="B31" s="30">
        <v>1140601410</v>
      </c>
      <c r="C31" s="71"/>
      <c r="D31" s="71"/>
      <c r="E31" s="71">
        <f t="shared" si="15"/>
        <v>0</v>
      </c>
      <c r="F31" s="71"/>
      <c r="G31" s="71"/>
      <c r="H31" s="72">
        <f t="shared" si="16"/>
        <v>0</v>
      </c>
      <c r="I31" s="86">
        <f t="shared" si="1"/>
        <v>0</v>
      </c>
      <c r="J31" s="86">
        <f t="shared" si="4"/>
        <v>0</v>
      </c>
      <c r="K31" s="71"/>
      <c r="L31" s="86">
        <f t="shared" si="3"/>
        <v>0</v>
      </c>
      <c r="M31" s="71"/>
      <c r="N31" s="71"/>
      <c r="O31" s="86">
        <f t="shared" si="2"/>
        <v>0</v>
      </c>
      <c r="P31" s="71"/>
      <c r="Q31" s="71"/>
      <c r="R31" s="71"/>
    </row>
    <row r="32" spans="1:20" ht="18">
      <c r="A32" s="9" t="s">
        <v>77</v>
      </c>
      <c r="B32" s="30">
        <v>1169005010</v>
      </c>
      <c r="C32" s="71"/>
      <c r="D32" s="71"/>
      <c r="E32" s="71">
        <f t="shared" si="15"/>
        <v>0</v>
      </c>
      <c r="F32" s="71"/>
      <c r="G32" s="71"/>
      <c r="H32" s="72">
        <f t="shared" si="16"/>
        <v>0</v>
      </c>
      <c r="I32" s="86">
        <f>IF(E32&gt;0,H32/E32,0)</f>
        <v>0</v>
      </c>
      <c r="J32" s="86">
        <f>IF(F32&gt;0,H32/F32,0)</f>
        <v>0</v>
      </c>
      <c r="K32" s="71"/>
      <c r="L32" s="86">
        <f t="shared" si="3"/>
        <v>0</v>
      </c>
      <c r="M32" s="71"/>
      <c r="N32" s="71"/>
      <c r="O32" s="86">
        <f t="shared" si="2"/>
        <v>0</v>
      </c>
      <c r="P32" s="71"/>
      <c r="Q32" s="71"/>
      <c r="R32" s="71"/>
    </row>
    <row r="33" spans="1:20" ht="18">
      <c r="A33" s="9" t="s">
        <v>69</v>
      </c>
      <c r="B33" s="30">
        <v>1170000000</v>
      </c>
      <c r="C33" s="72">
        <f>SUM(C34:C36)</f>
        <v>225</v>
      </c>
      <c r="D33" s="72">
        <f t="shared" ref="D33:E33" si="17">SUM(D34:D36)</f>
        <v>0</v>
      </c>
      <c r="E33" s="72">
        <f t="shared" si="17"/>
        <v>225</v>
      </c>
      <c r="F33" s="72">
        <f t="shared" ref="F33" si="18">SUM(F34:F35)</f>
        <v>0</v>
      </c>
      <c r="G33" s="72">
        <f t="shared" ref="G33" si="19">SUM(G34:G36)</f>
        <v>225</v>
      </c>
      <c r="H33" s="72">
        <f t="shared" ref="H33" si="20">SUM(H34:H36)</f>
        <v>225</v>
      </c>
      <c r="I33" s="86">
        <f>IF(E33&gt;0,H33/E33,0)</f>
        <v>1</v>
      </c>
      <c r="J33" s="86">
        <f>IF(F33&gt;0,H33/F33,0)</f>
        <v>0</v>
      </c>
      <c r="K33" s="72">
        <f t="shared" ref="K33" si="21">SUM(K34:K36)</f>
        <v>0</v>
      </c>
      <c r="L33" s="86">
        <f t="shared" si="3"/>
        <v>0</v>
      </c>
      <c r="M33" s="72">
        <f t="shared" ref="M33:N33" si="22">SUM(M34:M36)</f>
        <v>0</v>
      </c>
      <c r="N33" s="72">
        <f t="shared" si="22"/>
        <v>0</v>
      </c>
      <c r="O33" s="86">
        <f t="shared" si="2"/>
        <v>0</v>
      </c>
      <c r="P33" s="72">
        <f>SUM(P34:P35)</f>
        <v>0</v>
      </c>
      <c r="Q33" s="72">
        <f>SUM(Q34:Q35)</f>
        <v>0</v>
      </c>
      <c r="R33" s="72">
        <f>SUM(R34:R35)</f>
        <v>0</v>
      </c>
    </row>
    <row r="34" spans="1:20" ht="18">
      <c r="A34" s="13" t="s">
        <v>8</v>
      </c>
      <c r="B34" s="13">
        <v>1170103003</v>
      </c>
      <c r="C34" s="70"/>
      <c r="D34" s="70"/>
      <c r="E34" s="70">
        <f>C34+D34</f>
        <v>0</v>
      </c>
      <c r="F34" s="70"/>
      <c r="G34" s="70"/>
      <c r="H34" s="67">
        <f>G34+M34</f>
        <v>0</v>
      </c>
      <c r="I34" s="76">
        <f t="shared" si="1"/>
        <v>0</v>
      </c>
      <c r="J34" s="76">
        <f t="shared" si="4"/>
        <v>0</v>
      </c>
      <c r="K34" s="70">
        <v>0</v>
      </c>
      <c r="L34" s="76">
        <f t="shared" si="3"/>
        <v>0</v>
      </c>
      <c r="M34" s="70"/>
      <c r="N34" s="70"/>
      <c r="O34" s="76">
        <f t="shared" ref="O34:O42" si="23">IF(N34&gt;0,M34/N34,0)</f>
        <v>0</v>
      </c>
      <c r="P34" s="76"/>
      <c r="Q34" s="76"/>
      <c r="R34" s="76"/>
    </row>
    <row r="35" spans="1:20" ht="18">
      <c r="A35" s="13" t="s">
        <v>33</v>
      </c>
      <c r="B35" s="13">
        <v>1170505010</v>
      </c>
      <c r="C35" s="70"/>
      <c r="D35" s="67"/>
      <c r="E35" s="70">
        <f>C35+D35</f>
        <v>0</v>
      </c>
      <c r="F35" s="70"/>
      <c r="G35" s="70"/>
      <c r="H35" s="67">
        <f>G35+M35</f>
        <v>0</v>
      </c>
      <c r="I35" s="76">
        <f>IF(E35&gt;0,H35/E35,0)</f>
        <v>0</v>
      </c>
      <c r="J35" s="76">
        <f>IF(F35&gt;0,H35/F35,0)</f>
        <v>0</v>
      </c>
      <c r="K35" s="70"/>
      <c r="L35" s="76">
        <f>IF(K35&gt;0,H35/K35,0)</f>
        <v>0</v>
      </c>
      <c r="M35" s="70"/>
      <c r="N35" s="70"/>
      <c r="O35" s="76">
        <f t="shared" si="23"/>
        <v>0</v>
      </c>
      <c r="P35" s="70"/>
      <c r="Q35" s="70"/>
      <c r="R35" s="70"/>
    </row>
    <row r="36" spans="1:20" ht="18.75">
      <c r="A36" s="163" t="s">
        <v>114</v>
      </c>
      <c r="B36" s="163">
        <v>1171503010</v>
      </c>
      <c r="C36" s="70">
        <v>225</v>
      </c>
      <c r="D36" s="67"/>
      <c r="E36" s="70">
        <f>C36+D36</f>
        <v>225</v>
      </c>
      <c r="F36" s="70"/>
      <c r="G36" s="70">
        <v>225</v>
      </c>
      <c r="H36" s="67">
        <f>G36+M36</f>
        <v>225</v>
      </c>
      <c r="I36" s="76">
        <f>IF(E36&gt;0,H36/E36,0)</f>
        <v>1</v>
      </c>
      <c r="J36" s="76"/>
      <c r="K36" s="70"/>
      <c r="L36" s="76">
        <f>IF(K36&gt;0,H36/K36,0)</f>
        <v>0</v>
      </c>
      <c r="M36" s="70"/>
      <c r="N36" s="70"/>
      <c r="O36" s="76">
        <f t="shared" si="23"/>
        <v>0</v>
      </c>
      <c r="P36" s="70"/>
      <c r="Q36" s="70"/>
      <c r="R36" s="70"/>
    </row>
    <row r="37" spans="1:20" ht="18">
      <c r="A37" s="9" t="s">
        <v>6</v>
      </c>
      <c r="B37" s="9">
        <v>1000000000</v>
      </c>
      <c r="C37" s="78">
        <f t="shared" ref="C37:H37" si="24">C5+C24</f>
        <v>1980.4</v>
      </c>
      <c r="D37" s="77">
        <f t="shared" si="24"/>
        <v>239.81</v>
      </c>
      <c r="E37" s="77">
        <f t="shared" si="24"/>
        <v>2220.21</v>
      </c>
      <c r="F37" s="78" t="e">
        <f t="shared" si="24"/>
        <v>#REF!</v>
      </c>
      <c r="G37" s="78">
        <f>G5+G24</f>
        <v>2147.1999999999998</v>
      </c>
      <c r="H37" s="78">
        <f t="shared" si="24"/>
        <v>2354.4</v>
      </c>
      <c r="I37" s="90">
        <f t="shared" si="1"/>
        <v>1.0604402286270218</v>
      </c>
      <c r="J37" s="90" t="e">
        <f t="shared" si="4"/>
        <v>#REF!</v>
      </c>
      <c r="K37" s="78">
        <f>K5+K24</f>
        <v>1758.1999999999998</v>
      </c>
      <c r="L37" s="90">
        <f t="shared" si="3"/>
        <v>1.3390968035490844</v>
      </c>
      <c r="M37" s="78">
        <f>M5+M24</f>
        <v>207.20000000000002</v>
      </c>
      <c r="N37" s="78">
        <f>N5+N24</f>
        <v>203.9</v>
      </c>
      <c r="O37" s="90">
        <f t="shared" si="23"/>
        <v>1.0161844041196666</v>
      </c>
      <c r="P37" s="78">
        <f>P5+P24</f>
        <v>37.300000000000004</v>
      </c>
      <c r="Q37" s="78">
        <f>Q5+Q24</f>
        <v>32</v>
      </c>
      <c r="R37" s="78">
        <f>R5+R24</f>
        <v>43.2</v>
      </c>
      <c r="S37" s="146"/>
      <c r="T37" s="145"/>
    </row>
    <row r="38" spans="1:20" ht="18">
      <c r="A38" s="9" t="s">
        <v>92</v>
      </c>
      <c r="B38" s="9"/>
      <c r="C38" s="78">
        <f t="shared" ref="C38:H38" si="25">C37-C10</f>
        <v>1107.7000000000003</v>
      </c>
      <c r="D38" s="77">
        <f t="shared" si="25"/>
        <v>239.81</v>
      </c>
      <c r="E38" s="77">
        <f t="shared" si="25"/>
        <v>1347.5100000000002</v>
      </c>
      <c r="F38" s="78" t="e">
        <f t="shared" si="25"/>
        <v>#REF!</v>
      </c>
      <c r="G38" s="78">
        <f>G37-G10</f>
        <v>1289.8999999999996</v>
      </c>
      <c r="H38" s="78">
        <f t="shared" si="25"/>
        <v>1418.2</v>
      </c>
      <c r="I38" s="90">
        <f>IF(E38&gt;0,H38/E38,0)</f>
        <v>1.0524597220057734</v>
      </c>
      <c r="J38" s="90" t="e">
        <f>IF(F38&gt;0,H38/F38,0)</f>
        <v>#REF!</v>
      </c>
      <c r="K38" s="78">
        <f>K37-K10</f>
        <v>876.89999999999986</v>
      </c>
      <c r="L38" s="90">
        <f t="shared" si="3"/>
        <v>1.6172881742501999</v>
      </c>
      <c r="M38" s="78">
        <f>M37-M10</f>
        <v>128.30000000000001</v>
      </c>
      <c r="N38" s="78">
        <f>N37-N10</f>
        <v>118.5</v>
      </c>
      <c r="O38" s="90">
        <f t="shared" si="23"/>
        <v>1.0827004219409284</v>
      </c>
      <c r="P38" s="78"/>
      <c r="Q38" s="78"/>
      <c r="R38" s="78"/>
    </row>
    <row r="39" spans="1:20" ht="18">
      <c r="A39" s="13" t="s">
        <v>25</v>
      </c>
      <c r="B39" s="13">
        <v>2000000000</v>
      </c>
      <c r="C39" s="70">
        <v>4992.7</v>
      </c>
      <c r="D39" s="82">
        <f>1815.187-336.4+628-408.75</f>
        <v>1698.0369999999998</v>
      </c>
      <c r="E39" s="70">
        <f>C39+D39</f>
        <v>6690.7369999999992</v>
      </c>
      <c r="F39" s="70"/>
      <c r="G39" s="205">
        <v>5496.7</v>
      </c>
      <c r="H39" s="67">
        <f>G39+M39</f>
        <v>6690.6</v>
      </c>
      <c r="I39" s="76">
        <f t="shared" si="1"/>
        <v>0.99997952392987521</v>
      </c>
      <c r="J39" s="76">
        <f t="shared" si="4"/>
        <v>0</v>
      </c>
      <c r="K39" s="70">
        <v>3498.2</v>
      </c>
      <c r="L39" s="76">
        <f t="shared" si="3"/>
        <v>1.9125836144302786</v>
      </c>
      <c r="M39" s="70">
        <v>1193.9000000000001</v>
      </c>
      <c r="N39" s="70">
        <v>523.5</v>
      </c>
      <c r="O39" s="76">
        <f t="shared" si="23"/>
        <v>2.2806112702960841</v>
      </c>
      <c r="P39" s="70"/>
      <c r="Q39" s="70"/>
      <c r="R39" s="70"/>
      <c r="S39" s="154"/>
    </row>
    <row r="40" spans="1:20" ht="18">
      <c r="A40" s="13" t="s">
        <v>47</v>
      </c>
      <c r="B40" s="34" t="s">
        <v>37</v>
      </c>
      <c r="C40" s="70"/>
      <c r="D40" s="81"/>
      <c r="E40" s="70">
        <f>C40+D40</f>
        <v>0</v>
      </c>
      <c r="F40" s="70"/>
      <c r="G40" s="70"/>
      <c r="H40" s="67">
        <f>G40+M40</f>
        <v>0</v>
      </c>
      <c r="I40" s="76">
        <f t="shared" si="1"/>
        <v>0</v>
      </c>
      <c r="J40" s="76"/>
      <c r="K40" s="70"/>
      <c r="L40" s="76">
        <f t="shared" si="3"/>
        <v>0</v>
      </c>
      <c r="M40" s="70"/>
      <c r="N40" s="70"/>
      <c r="O40" s="76">
        <f t="shared" si="23"/>
        <v>0</v>
      </c>
      <c r="P40" s="70"/>
      <c r="Q40" s="70"/>
      <c r="R40" s="70"/>
    </row>
    <row r="41" spans="1:20" ht="18">
      <c r="A41" s="8" t="s">
        <v>116</v>
      </c>
      <c r="B41" s="144" t="s">
        <v>126</v>
      </c>
      <c r="C41" s="70"/>
      <c r="D41" s="81"/>
      <c r="E41" s="70"/>
      <c r="F41" s="70"/>
      <c r="G41" s="70"/>
      <c r="H41" s="67">
        <f>G41+M41</f>
        <v>0</v>
      </c>
      <c r="I41" s="76"/>
      <c r="J41" s="76"/>
      <c r="K41" s="70"/>
      <c r="L41" s="76"/>
      <c r="M41" s="70"/>
      <c r="N41" s="70"/>
      <c r="O41" s="76"/>
      <c r="P41" s="70"/>
      <c r="Q41" s="70"/>
      <c r="R41" s="70"/>
    </row>
    <row r="42" spans="1:20" ht="18">
      <c r="A42" s="9" t="s">
        <v>2</v>
      </c>
      <c r="B42" s="9">
        <v>0</v>
      </c>
      <c r="C42" s="87">
        <f>C37+C39+C40</f>
        <v>6973.1</v>
      </c>
      <c r="D42" s="77">
        <f>D37+D39+D40</f>
        <v>1937.8469999999998</v>
      </c>
      <c r="E42" s="77">
        <f>E37+E39+E40</f>
        <v>8910.9470000000001</v>
      </c>
      <c r="F42" s="87" t="e">
        <f>F37+F39</f>
        <v>#REF!</v>
      </c>
      <c r="G42" s="78">
        <f>G37+G39+G40+G41</f>
        <v>7643.9</v>
      </c>
      <c r="H42" s="78">
        <f>H37+H39+H40+H41</f>
        <v>9045</v>
      </c>
      <c r="I42" s="90">
        <f t="shared" si="1"/>
        <v>1.0150436311651276</v>
      </c>
      <c r="J42" s="90" t="e">
        <f t="shared" si="4"/>
        <v>#REF!</v>
      </c>
      <c r="K42" s="78">
        <f>K37+K39+K40</f>
        <v>5256.4</v>
      </c>
      <c r="L42" s="90">
        <f t="shared" si="3"/>
        <v>1.7207594551404004</v>
      </c>
      <c r="M42" s="78">
        <f>M37+M39+M40+M41</f>
        <v>1401.1000000000001</v>
      </c>
      <c r="N42" s="78">
        <f>N37+N39+N40</f>
        <v>727.4</v>
      </c>
      <c r="O42" s="90">
        <f t="shared" si="23"/>
        <v>1.9261754193016225</v>
      </c>
      <c r="P42" s="91">
        <f>P37+P39</f>
        <v>37.300000000000004</v>
      </c>
      <c r="Q42" s="78">
        <f>Q37+Q39</f>
        <v>32</v>
      </c>
      <c r="R42" s="78">
        <f>R37+R39</f>
        <v>43.2</v>
      </c>
    </row>
    <row r="43" spans="1:20" ht="18">
      <c r="I43" s="142"/>
    </row>
  </sheetData>
  <mergeCells count="15"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  <mergeCell ref="C1:M1"/>
    <mergeCell ref="B2:R2"/>
    <mergeCell ref="G3:G4"/>
    <mergeCell ref="K3:L3"/>
    <mergeCell ref="H3:J3"/>
  </mergeCells>
  <phoneticPr fontId="0" type="noConversion"/>
  <pageMargins left="0.75" right="0.75" top="1" bottom="1" header="0.5" footer="0.5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6"/>
  <sheetViews>
    <sheetView zoomScaleNormal="100" workbookViewId="0">
      <pane xSplit="2" ySplit="4" topLeftCell="E20" activePane="bottomRight" state="frozen"/>
      <selection pane="topRight" activeCell="D1" sqref="D1"/>
      <selection pane="bottomLeft" activeCell="A5" sqref="A5"/>
      <selection pane="bottomRight" activeCell="R19" sqref="R19"/>
    </sheetView>
  </sheetViews>
  <sheetFormatPr defaultRowHeight="12.75"/>
  <cols>
    <col min="1" max="1" width="41.42578125" customWidth="1"/>
    <col min="2" max="2" width="14.85546875" customWidth="1"/>
    <col min="3" max="3" width="14.7109375" customWidth="1"/>
    <col min="4" max="4" width="13" customWidth="1"/>
    <col min="5" max="5" width="15.140625" customWidth="1"/>
    <col min="6" max="6" width="0.140625" hidden="1" customWidth="1"/>
    <col min="7" max="7" width="13.7109375" customWidth="1"/>
    <col min="8" max="8" width="14.5703125" customWidth="1"/>
    <col min="9" max="9" width="12.42578125" customWidth="1"/>
    <col min="10" max="10" width="9.85546875" hidden="1" customWidth="1"/>
    <col min="11" max="11" width="14.7109375" customWidth="1"/>
    <col min="12" max="12" width="15.7109375" customWidth="1"/>
    <col min="13" max="13" width="11.85546875" customWidth="1"/>
    <col min="14" max="14" width="11.7109375" customWidth="1"/>
    <col min="15" max="15" width="14.28515625" customWidth="1"/>
    <col min="16" max="16" width="10.5703125" customWidth="1"/>
    <col min="17" max="18" width="9.85546875" customWidth="1"/>
    <col min="19" max="19" width="9.140625" hidden="1" customWidth="1"/>
    <col min="20" max="20" width="10.28515625" bestFit="1" customWidth="1"/>
  </cols>
  <sheetData>
    <row r="1" spans="1:20" ht="15.75">
      <c r="A1" s="26"/>
      <c r="B1" s="47"/>
      <c r="C1" s="250" t="s">
        <v>11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48"/>
      <c r="O1" s="48"/>
      <c r="P1" s="26"/>
      <c r="Q1" s="26"/>
      <c r="R1" s="26"/>
    </row>
    <row r="2" spans="1:20" ht="15.75">
      <c r="A2" s="26"/>
      <c r="B2" s="255" t="s">
        <v>135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20" ht="13.5" customHeight="1">
      <c r="A3" s="245" t="s">
        <v>3</v>
      </c>
      <c r="B3" s="245" t="s">
        <v>4</v>
      </c>
      <c r="C3" s="245" t="s">
        <v>124</v>
      </c>
      <c r="D3" s="245" t="s">
        <v>24</v>
      </c>
      <c r="E3" s="245" t="s">
        <v>125</v>
      </c>
      <c r="F3" s="245" t="s">
        <v>99</v>
      </c>
      <c r="G3" s="245" t="s">
        <v>128</v>
      </c>
      <c r="H3" s="245" t="s">
        <v>123</v>
      </c>
      <c r="I3" s="245"/>
      <c r="J3" s="245"/>
      <c r="K3" s="245" t="s">
        <v>117</v>
      </c>
      <c r="L3" s="245"/>
      <c r="M3" s="245" t="s">
        <v>138</v>
      </c>
      <c r="N3" s="245" t="s">
        <v>139</v>
      </c>
      <c r="O3" s="245" t="s">
        <v>30</v>
      </c>
      <c r="P3" s="245" t="s">
        <v>9</v>
      </c>
      <c r="Q3" s="245"/>
      <c r="R3" s="245"/>
    </row>
    <row r="4" spans="1:20" ht="93.75" customHeight="1">
      <c r="A4" s="254"/>
      <c r="B4" s="254"/>
      <c r="C4" s="245"/>
      <c r="D4" s="245"/>
      <c r="E4" s="245"/>
      <c r="F4" s="245"/>
      <c r="G4" s="245"/>
      <c r="H4" s="242" t="s">
        <v>140</v>
      </c>
      <c r="I4" s="171" t="s">
        <v>10</v>
      </c>
      <c r="J4" s="171" t="s">
        <v>29</v>
      </c>
      <c r="K4" s="242" t="s">
        <v>140</v>
      </c>
      <c r="L4" s="171" t="s">
        <v>30</v>
      </c>
      <c r="M4" s="245"/>
      <c r="N4" s="245"/>
      <c r="O4" s="245"/>
      <c r="P4" s="121" t="s">
        <v>122</v>
      </c>
      <c r="Q4" s="121" t="s">
        <v>129</v>
      </c>
      <c r="R4" s="121" t="s">
        <v>132</v>
      </c>
    </row>
    <row r="5" spans="1:20" ht="17.25" customHeight="1">
      <c r="A5" s="29" t="s">
        <v>21</v>
      </c>
      <c r="B5" s="29"/>
      <c r="C5" s="88">
        <f t="shared" ref="C5:H5" si="0">C6+C16+C18+C23+C24+C11</f>
        <v>2040.9</v>
      </c>
      <c r="D5" s="88">
        <f t="shared" si="0"/>
        <v>-149.59999999999997</v>
      </c>
      <c r="E5" s="88">
        <f t="shared" si="0"/>
        <v>1891.3</v>
      </c>
      <c r="F5" s="88">
        <f t="shared" si="0"/>
        <v>0</v>
      </c>
      <c r="G5" s="88">
        <f t="shared" si="0"/>
        <v>1818.7000000000003</v>
      </c>
      <c r="H5" s="88">
        <f t="shared" si="0"/>
        <v>2003.1999999999998</v>
      </c>
      <c r="I5" s="89">
        <f t="shared" ref="I5:I43" si="1">IF(E5&gt;0,H5/E5,0)</f>
        <v>1.0591656532543752</v>
      </c>
      <c r="J5" s="89">
        <f>IF(F5&gt;0,H5/F5,0)</f>
        <v>0</v>
      </c>
      <c r="K5" s="88">
        <f>K6+K16+K18+K23+K24+K11</f>
        <v>1893.0000000000002</v>
      </c>
      <c r="L5" s="89">
        <f>IF(K5&gt;0,H5/K5,0)</f>
        <v>1.0582144743792918</v>
      </c>
      <c r="M5" s="88">
        <f>M6+M16+M18+M23+M24+M11</f>
        <v>184.5</v>
      </c>
      <c r="N5" s="88">
        <f>N6+N16+N18+N23+N24+N11</f>
        <v>200.9</v>
      </c>
      <c r="O5" s="89">
        <f t="shared" ref="O5:O43" si="2">IF(N5&gt;0,M5/N5,0)</f>
        <v>0.91836734693877553</v>
      </c>
      <c r="P5" s="88">
        <f>P6+P16+P18+P23+P24+P11</f>
        <v>58.2</v>
      </c>
      <c r="Q5" s="88">
        <f>Q6+Q16+Q18+Q23+Q24+Q11</f>
        <v>43.7</v>
      </c>
      <c r="R5" s="88">
        <f>R6+R16+R18+R23+R24+R11</f>
        <v>55.3</v>
      </c>
      <c r="T5" s="26"/>
    </row>
    <row r="6" spans="1:20" ht="18">
      <c r="A6" s="9" t="s">
        <v>63</v>
      </c>
      <c r="B6" s="30">
        <v>1010200001</v>
      </c>
      <c r="C6" s="71">
        <f t="shared" ref="C6:F6" si="3">C7+C8+C9</f>
        <v>989</v>
      </c>
      <c r="D6" s="71">
        <f t="shared" si="3"/>
        <v>-164.89999999999998</v>
      </c>
      <c r="E6" s="71">
        <f>E7+E8+E9+E10</f>
        <v>824.09999999999991</v>
      </c>
      <c r="F6" s="71">
        <f t="shared" si="3"/>
        <v>0</v>
      </c>
      <c r="G6" s="72">
        <f>G7+G8+G9+G10</f>
        <v>832.1</v>
      </c>
      <c r="H6" s="72">
        <f>H7+H8+H9+H10</f>
        <v>935.9</v>
      </c>
      <c r="I6" s="86">
        <f t="shared" si="1"/>
        <v>1.1356631476762529</v>
      </c>
      <c r="J6" s="86">
        <f>IF(F6&gt;0,H6/F6,0)</f>
        <v>0</v>
      </c>
      <c r="K6" s="92">
        <f>SUM(K7:K9)</f>
        <v>863.2</v>
      </c>
      <c r="L6" s="86">
        <f t="shared" ref="L6:L42" si="4">IF(K6&gt;0,H6/K6,0)</f>
        <v>1.0842215013901759</v>
      </c>
      <c r="M6" s="72">
        <f>M7+M8+M9+M10</f>
        <v>103.8</v>
      </c>
      <c r="N6" s="72">
        <f>N7+N8+N9+N10</f>
        <v>107.3</v>
      </c>
      <c r="O6" s="86">
        <f t="shared" si="2"/>
        <v>0.96738117427772596</v>
      </c>
      <c r="P6" s="71">
        <f>SUM(P7:P10)</f>
        <v>4.8</v>
      </c>
      <c r="Q6" s="71">
        <f t="shared" ref="Q6:R6" si="5">SUM(Q7:Q10)</f>
        <v>8</v>
      </c>
      <c r="R6" s="71">
        <f t="shared" si="5"/>
        <v>7</v>
      </c>
      <c r="T6" s="26"/>
    </row>
    <row r="7" spans="1:20" ht="21" customHeight="1">
      <c r="A7" s="10" t="s">
        <v>44</v>
      </c>
      <c r="B7" s="13">
        <v>1010201001</v>
      </c>
      <c r="C7" s="70">
        <v>986.3</v>
      </c>
      <c r="D7" s="82">
        <v>-171.2</v>
      </c>
      <c r="E7" s="70">
        <f>C7+D7</f>
        <v>815.09999999999991</v>
      </c>
      <c r="F7" s="70"/>
      <c r="G7" s="67">
        <v>823.1</v>
      </c>
      <c r="H7" s="67">
        <f>G7+M7</f>
        <v>926.9</v>
      </c>
      <c r="I7" s="76">
        <f t="shared" si="1"/>
        <v>1.1371610845295057</v>
      </c>
      <c r="J7" s="76">
        <f t="shared" ref="J7:J39" si="6">IF(F7&gt;0,H7/F7,0)</f>
        <v>0</v>
      </c>
      <c r="K7" s="67">
        <v>860.7</v>
      </c>
      <c r="L7" s="76">
        <f t="shared" si="4"/>
        <v>1.07691413965377</v>
      </c>
      <c r="M7" s="67">
        <v>103.8</v>
      </c>
      <c r="N7" s="67">
        <v>107.3</v>
      </c>
      <c r="O7" s="76">
        <f t="shared" si="2"/>
        <v>0.96738117427772596</v>
      </c>
      <c r="P7" s="70">
        <v>4.8</v>
      </c>
      <c r="Q7" s="70">
        <v>8</v>
      </c>
      <c r="R7" s="70">
        <v>6.6</v>
      </c>
      <c r="T7" s="151"/>
    </row>
    <row r="8" spans="1:20" ht="18" customHeight="1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6"/>
        <v>0</v>
      </c>
      <c r="K8" s="70"/>
      <c r="L8" s="76">
        <f>IF(K8&gt;0,H8/K8,0)</f>
        <v>0</v>
      </c>
      <c r="M8" s="70"/>
      <c r="N8" s="70"/>
      <c r="O8" s="76">
        <f t="shared" si="2"/>
        <v>0</v>
      </c>
      <c r="P8" s="70"/>
      <c r="Q8" s="70"/>
      <c r="R8" s="70"/>
      <c r="T8" s="26"/>
    </row>
    <row r="9" spans="1:20" ht="20.25" customHeight="1">
      <c r="A9" s="10" t="s">
        <v>42</v>
      </c>
      <c r="B9" s="13">
        <v>1010203001</v>
      </c>
      <c r="C9" s="70">
        <v>2.7</v>
      </c>
      <c r="D9" s="70">
        <v>6.3</v>
      </c>
      <c r="E9" s="70">
        <f>C9+D9</f>
        <v>9</v>
      </c>
      <c r="F9" s="70"/>
      <c r="G9" s="70">
        <v>9</v>
      </c>
      <c r="H9" s="67">
        <f>G9+M9</f>
        <v>9</v>
      </c>
      <c r="I9" s="76">
        <f t="shared" si="1"/>
        <v>1</v>
      </c>
      <c r="J9" s="76">
        <f t="shared" si="6"/>
        <v>0</v>
      </c>
      <c r="K9" s="70">
        <v>2.5</v>
      </c>
      <c r="L9" s="76">
        <f t="shared" si="4"/>
        <v>3.6</v>
      </c>
      <c r="M9" s="70"/>
      <c r="N9" s="70"/>
      <c r="O9" s="76">
        <f t="shared" si="2"/>
        <v>0</v>
      </c>
      <c r="P9" s="70"/>
      <c r="Q9" s="70"/>
      <c r="R9" s="70">
        <v>0.4</v>
      </c>
      <c r="T9" s="26"/>
    </row>
    <row r="10" spans="1:20" ht="28.5" customHeight="1">
      <c r="A10" s="198" t="s">
        <v>121</v>
      </c>
      <c r="B10" s="13">
        <v>1010213001</v>
      </c>
      <c r="C10" s="70"/>
      <c r="D10" s="70"/>
      <c r="E10" s="70"/>
      <c r="F10" s="70"/>
      <c r="G10" s="70">
        <v>0</v>
      </c>
      <c r="H10" s="67">
        <f>G10+M10</f>
        <v>0</v>
      </c>
      <c r="I10" s="76">
        <f t="shared" si="1"/>
        <v>0</v>
      </c>
      <c r="J10" s="69"/>
      <c r="K10" s="70"/>
      <c r="L10" s="76">
        <f t="shared" si="4"/>
        <v>0</v>
      </c>
      <c r="M10" s="70"/>
      <c r="N10" s="70"/>
      <c r="O10" s="76">
        <f t="shared" si="2"/>
        <v>0</v>
      </c>
      <c r="P10" s="70"/>
      <c r="Q10" s="70"/>
      <c r="R10" s="70"/>
      <c r="T10" s="26"/>
    </row>
    <row r="11" spans="1:20" ht="16.5" customHeight="1">
      <c r="A11" s="11" t="s">
        <v>48</v>
      </c>
      <c r="B11" s="19">
        <v>1030200001</v>
      </c>
      <c r="C11" s="71">
        <f t="shared" ref="C11" si="7">SUM(C12:C15)</f>
        <v>750.9</v>
      </c>
      <c r="D11" s="71">
        <f t="shared" ref="D11:H11" si="8">SUM(D12:D15)</f>
        <v>54.499999999999993</v>
      </c>
      <c r="E11" s="71">
        <f t="shared" si="8"/>
        <v>805.40000000000009</v>
      </c>
      <c r="F11" s="71"/>
      <c r="G11" s="71">
        <f>SUM(G12:G15)</f>
        <v>737.6</v>
      </c>
      <c r="H11" s="71">
        <f t="shared" si="8"/>
        <v>805.4</v>
      </c>
      <c r="I11" s="65">
        <f t="shared" si="1"/>
        <v>0.99999999999999989</v>
      </c>
      <c r="J11" s="65">
        <f>IF(F11&gt;0,H11/F11,0)</f>
        <v>0</v>
      </c>
      <c r="K11" s="71">
        <f>SUM(K12:K15)</f>
        <v>759.10000000000014</v>
      </c>
      <c r="L11" s="65">
        <f t="shared" si="4"/>
        <v>1.0609932815175864</v>
      </c>
      <c r="M11" s="71">
        <f>SUM(M12:M15)</f>
        <v>67.800000000000011</v>
      </c>
      <c r="N11" s="71">
        <f>SUM(N12:N15)</f>
        <v>73.600000000000009</v>
      </c>
      <c r="O11" s="65">
        <f t="shared" si="2"/>
        <v>0.92119565217391308</v>
      </c>
      <c r="P11" s="71">
        <f>SUM(P12:P15)</f>
        <v>0</v>
      </c>
      <c r="Q11" s="207"/>
      <c r="R11" s="71">
        <f>SUM(R12:R15)</f>
        <v>0</v>
      </c>
      <c r="T11" s="26"/>
    </row>
    <row r="12" spans="1:20" ht="20.25" customHeight="1">
      <c r="A12" s="12" t="s">
        <v>49</v>
      </c>
      <c r="B12" s="12">
        <v>1030223101</v>
      </c>
      <c r="C12" s="70">
        <v>391.6</v>
      </c>
      <c r="D12" s="70">
        <v>22.9</v>
      </c>
      <c r="E12" s="66">
        <f>C12+D12</f>
        <v>414.5</v>
      </c>
      <c r="F12" s="66"/>
      <c r="G12" s="70">
        <v>382.2</v>
      </c>
      <c r="H12" s="68">
        <f>G12+M12</f>
        <v>416.09999999999997</v>
      </c>
      <c r="I12" s="69">
        <f t="shared" si="1"/>
        <v>1.0038600723763569</v>
      </c>
      <c r="J12" s="69">
        <f>IF(F12&gt;0,H12/F12,0)</f>
        <v>0</v>
      </c>
      <c r="K12" s="70">
        <v>393.3</v>
      </c>
      <c r="L12" s="69">
        <f t="shared" si="4"/>
        <v>1.0579710144927534</v>
      </c>
      <c r="M12" s="70">
        <v>33.9</v>
      </c>
      <c r="N12" s="70">
        <v>39.700000000000003</v>
      </c>
      <c r="O12" s="69">
        <f t="shared" si="2"/>
        <v>0.85390428211586888</v>
      </c>
      <c r="P12" s="70"/>
      <c r="Q12" s="205"/>
      <c r="R12" s="70"/>
      <c r="T12" s="26"/>
    </row>
    <row r="13" spans="1:20" ht="18" customHeight="1">
      <c r="A13" s="12" t="s">
        <v>50</v>
      </c>
      <c r="B13" s="12">
        <v>1030224101</v>
      </c>
      <c r="C13" s="70">
        <v>1.9</v>
      </c>
      <c r="D13" s="70">
        <v>0.3</v>
      </c>
      <c r="E13" s="66">
        <f>C13+D13</f>
        <v>2.1999999999999997</v>
      </c>
      <c r="F13" s="66"/>
      <c r="G13" s="70">
        <v>2.2000000000000002</v>
      </c>
      <c r="H13" s="68">
        <f>G13+M13</f>
        <v>2.4000000000000004</v>
      </c>
      <c r="I13" s="69">
        <f t="shared" si="1"/>
        <v>1.0909090909090913</v>
      </c>
      <c r="J13" s="69">
        <f>IF(F13&gt;0,H13/F13,0)</f>
        <v>0</v>
      </c>
      <c r="K13" s="70">
        <v>2.1</v>
      </c>
      <c r="L13" s="69">
        <f t="shared" si="4"/>
        <v>1.142857142857143</v>
      </c>
      <c r="M13" s="70">
        <v>0.2</v>
      </c>
      <c r="N13" s="70">
        <v>0.2</v>
      </c>
      <c r="O13" s="69">
        <f t="shared" si="2"/>
        <v>1</v>
      </c>
      <c r="P13" s="70"/>
      <c r="Q13" s="205"/>
      <c r="R13" s="70"/>
      <c r="T13" s="26"/>
    </row>
    <row r="14" spans="1:20" ht="18" customHeight="1">
      <c r="A14" s="12" t="s">
        <v>51</v>
      </c>
      <c r="B14" s="12">
        <v>1030225101</v>
      </c>
      <c r="C14" s="70">
        <v>406.1</v>
      </c>
      <c r="D14" s="70">
        <v>24.9</v>
      </c>
      <c r="E14" s="66">
        <f>C14+D14</f>
        <v>431</v>
      </c>
      <c r="F14" s="66"/>
      <c r="G14" s="70">
        <v>395.5</v>
      </c>
      <c r="H14" s="68">
        <f>G14+M14</f>
        <v>432.2</v>
      </c>
      <c r="I14" s="69">
        <f t="shared" si="1"/>
        <v>1.002784222737819</v>
      </c>
      <c r="J14" s="69">
        <f>IF(F14&gt;0,H14/F14,0)</f>
        <v>0</v>
      </c>
      <c r="K14" s="70">
        <v>406.5</v>
      </c>
      <c r="L14" s="69">
        <f t="shared" si="4"/>
        <v>1.0632226322263223</v>
      </c>
      <c r="M14" s="70">
        <v>36.700000000000003</v>
      </c>
      <c r="N14" s="70">
        <v>37.200000000000003</v>
      </c>
      <c r="O14" s="69">
        <f t="shared" si="2"/>
        <v>0.98655913978494625</v>
      </c>
      <c r="P14" s="70"/>
      <c r="Q14" s="205"/>
      <c r="R14" s="70"/>
      <c r="T14" s="26"/>
    </row>
    <row r="15" spans="1:20" ht="19.5" customHeight="1">
      <c r="A15" s="12" t="s">
        <v>52</v>
      </c>
      <c r="B15" s="12">
        <v>1030226101</v>
      </c>
      <c r="C15" s="70">
        <v>-48.7</v>
      </c>
      <c r="D15" s="70">
        <v>6.4</v>
      </c>
      <c r="E15" s="66">
        <f>C15+D15</f>
        <v>-42.300000000000004</v>
      </c>
      <c r="F15" s="66"/>
      <c r="G15" s="70">
        <v>-42.3</v>
      </c>
      <c r="H15" s="68">
        <f>G15+M15</f>
        <v>-45.3</v>
      </c>
      <c r="I15" s="69">
        <f>H15/E15</f>
        <v>1.0709219858156027</v>
      </c>
      <c r="J15" s="69">
        <f>IF(F15&gt;0,H15/F15,0)</f>
        <v>0</v>
      </c>
      <c r="K15" s="70">
        <v>-42.8</v>
      </c>
      <c r="L15" s="69">
        <f t="shared" si="4"/>
        <v>0</v>
      </c>
      <c r="M15" s="70">
        <v>-3</v>
      </c>
      <c r="N15" s="70">
        <v>-3.5</v>
      </c>
      <c r="O15" s="69">
        <f t="shared" si="2"/>
        <v>0</v>
      </c>
      <c r="P15" s="70"/>
      <c r="Q15" s="205">
        <f>Q16</f>
        <v>0</v>
      </c>
      <c r="R15" s="70"/>
      <c r="T15" s="26"/>
    </row>
    <row r="16" spans="1:20" ht="18">
      <c r="A16" s="9" t="s">
        <v>70</v>
      </c>
      <c r="B16" s="30">
        <v>1050000000</v>
      </c>
      <c r="C16" s="71">
        <f t="shared" ref="C16" si="9">C17</f>
        <v>0</v>
      </c>
      <c r="D16" s="72">
        <f t="shared" ref="D16:F16" si="10">D17</f>
        <v>0</v>
      </c>
      <c r="E16" s="72">
        <f t="shared" si="10"/>
        <v>0</v>
      </c>
      <c r="F16" s="72">
        <f t="shared" si="10"/>
        <v>0</v>
      </c>
      <c r="G16" s="71">
        <f>G17</f>
        <v>0</v>
      </c>
      <c r="H16" s="72">
        <f>H17</f>
        <v>0</v>
      </c>
      <c r="I16" s="86">
        <f t="shared" si="1"/>
        <v>0</v>
      </c>
      <c r="J16" s="86">
        <f t="shared" si="6"/>
        <v>0</v>
      </c>
      <c r="K16" s="71">
        <f>K17</f>
        <v>0</v>
      </c>
      <c r="L16" s="86">
        <f t="shared" si="4"/>
        <v>0</v>
      </c>
      <c r="M16" s="71">
        <f>M17</f>
        <v>0</v>
      </c>
      <c r="N16" s="71">
        <f>N17</f>
        <v>0</v>
      </c>
      <c r="O16" s="86">
        <f t="shared" si="2"/>
        <v>0</v>
      </c>
      <c r="P16" s="71">
        <f>P17</f>
        <v>0</v>
      </c>
      <c r="Q16" s="207"/>
      <c r="R16" s="71">
        <f>R17</f>
        <v>0</v>
      </c>
      <c r="T16" s="26"/>
    </row>
    <row r="17" spans="1:20" ht="18">
      <c r="A17" s="13" t="s">
        <v>7</v>
      </c>
      <c r="B17" s="13">
        <v>1050300001</v>
      </c>
      <c r="C17" s="70"/>
      <c r="D17" s="67"/>
      <c r="E17" s="70">
        <f>C17+D17</f>
        <v>0</v>
      </c>
      <c r="F17" s="70"/>
      <c r="G17" s="70"/>
      <c r="H17" s="67">
        <f>G17+M17</f>
        <v>0</v>
      </c>
      <c r="I17" s="76">
        <f t="shared" si="1"/>
        <v>0</v>
      </c>
      <c r="J17" s="76">
        <f t="shared" si="6"/>
        <v>0</v>
      </c>
      <c r="K17" s="70"/>
      <c r="L17" s="76">
        <f t="shared" si="4"/>
        <v>0</v>
      </c>
      <c r="M17" s="70">
        <v>0</v>
      </c>
      <c r="N17" s="70"/>
      <c r="O17" s="76">
        <f t="shared" si="2"/>
        <v>0</v>
      </c>
      <c r="P17" s="70"/>
      <c r="Q17" s="205"/>
      <c r="R17" s="70"/>
      <c r="T17" s="26"/>
    </row>
    <row r="18" spans="1:20" ht="18">
      <c r="A18" s="9" t="s">
        <v>71</v>
      </c>
      <c r="B18" s="30">
        <v>1060000000</v>
      </c>
      <c r="C18" s="71">
        <f t="shared" ref="C18" si="11">C19+C22</f>
        <v>296</v>
      </c>
      <c r="D18" s="72">
        <f t="shared" ref="D18:H18" si="12">D19+D22</f>
        <v>-42</v>
      </c>
      <c r="E18" s="72">
        <f t="shared" si="12"/>
        <v>254</v>
      </c>
      <c r="F18" s="72">
        <f t="shared" si="12"/>
        <v>0</v>
      </c>
      <c r="G18" s="71">
        <f>G19+G22</f>
        <v>241.60000000000002</v>
      </c>
      <c r="H18" s="72">
        <f t="shared" si="12"/>
        <v>253.8</v>
      </c>
      <c r="I18" s="86">
        <f t="shared" si="1"/>
        <v>0.99921259842519694</v>
      </c>
      <c r="J18" s="86">
        <f t="shared" si="6"/>
        <v>0</v>
      </c>
      <c r="K18" s="71">
        <f>K19+K22</f>
        <v>265.5</v>
      </c>
      <c r="L18" s="86">
        <f t="shared" si="4"/>
        <v>0.95593220338983054</v>
      </c>
      <c r="M18" s="71">
        <f>M19+M22</f>
        <v>12.2</v>
      </c>
      <c r="N18" s="71">
        <f>N19+N22</f>
        <v>19.8</v>
      </c>
      <c r="O18" s="86">
        <f t="shared" si="2"/>
        <v>0.61616161616161613</v>
      </c>
      <c r="P18" s="71">
        <f>P19+P22</f>
        <v>53.400000000000006</v>
      </c>
      <c r="Q18" s="71">
        <f>Q19+Q22</f>
        <v>35.700000000000003</v>
      </c>
      <c r="R18" s="71">
        <f>R19+R22</f>
        <v>48.3</v>
      </c>
      <c r="T18" s="26"/>
    </row>
    <row r="19" spans="1:20" ht="18">
      <c r="A19" s="13" t="s">
        <v>13</v>
      </c>
      <c r="B19" s="13">
        <v>1060600000</v>
      </c>
      <c r="C19" s="70">
        <f t="shared" ref="C19" si="13">C20+C21</f>
        <v>228</v>
      </c>
      <c r="D19" s="67">
        <f t="shared" ref="D19:H19" si="14">D20+D21</f>
        <v>-29</v>
      </c>
      <c r="E19" s="67">
        <f t="shared" si="14"/>
        <v>199</v>
      </c>
      <c r="F19" s="67">
        <f t="shared" si="14"/>
        <v>0</v>
      </c>
      <c r="G19" s="67">
        <f>G20+G21</f>
        <v>193.70000000000002</v>
      </c>
      <c r="H19" s="67">
        <f t="shared" si="14"/>
        <v>199</v>
      </c>
      <c r="I19" s="76">
        <f t="shared" si="1"/>
        <v>1</v>
      </c>
      <c r="J19" s="76">
        <f t="shared" si="6"/>
        <v>0</v>
      </c>
      <c r="K19" s="67">
        <f>K20+K21</f>
        <v>201.1</v>
      </c>
      <c r="L19" s="76">
        <f t="shared" si="4"/>
        <v>0.98955743411238195</v>
      </c>
      <c r="M19" s="67">
        <f>M20+M21</f>
        <v>5.3</v>
      </c>
      <c r="N19" s="67">
        <f>N20+N21</f>
        <v>7.3</v>
      </c>
      <c r="O19" s="76">
        <f t="shared" si="2"/>
        <v>0.72602739726027399</v>
      </c>
      <c r="P19" s="70">
        <f>P20+P21</f>
        <v>36.700000000000003</v>
      </c>
      <c r="Q19" s="70">
        <f>Q20+Q21</f>
        <v>23.9</v>
      </c>
      <c r="R19" s="70">
        <f>R20+R21</f>
        <v>31.6</v>
      </c>
      <c r="T19" s="26"/>
    </row>
    <row r="20" spans="1:20" ht="18">
      <c r="A20" s="13" t="s">
        <v>100</v>
      </c>
      <c r="B20" s="13">
        <v>1060603310</v>
      </c>
      <c r="C20" s="70">
        <v>163</v>
      </c>
      <c r="D20" s="67">
        <v>-3</v>
      </c>
      <c r="E20" s="70">
        <f>C20+D20</f>
        <v>160</v>
      </c>
      <c r="F20" s="70"/>
      <c r="G20" s="70">
        <v>159.80000000000001</v>
      </c>
      <c r="H20" s="67">
        <f>G20+M20</f>
        <v>159.80000000000001</v>
      </c>
      <c r="I20" s="76">
        <f t="shared" si="1"/>
        <v>0.99875000000000003</v>
      </c>
      <c r="J20" s="76">
        <f t="shared" si="6"/>
        <v>0</v>
      </c>
      <c r="K20" s="70">
        <v>139.69999999999999</v>
      </c>
      <c r="L20" s="76">
        <f t="shared" si="4"/>
        <v>1.1438797423049394</v>
      </c>
      <c r="M20" s="70"/>
      <c r="N20" s="70">
        <v>1.3</v>
      </c>
      <c r="O20" s="76">
        <f t="shared" si="2"/>
        <v>0</v>
      </c>
      <c r="P20" s="70"/>
      <c r="Q20" s="70"/>
      <c r="R20" s="70"/>
      <c r="T20" s="26"/>
    </row>
    <row r="21" spans="1:20" ht="18">
      <c r="A21" s="13" t="s">
        <v>101</v>
      </c>
      <c r="B21" s="13">
        <v>1060604310</v>
      </c>
      <c r="C21" s="70">
        <v>65</v>
      </c>
      <c r="D21" s="67">
        <v>-26</v>
      </c>
      <c r="E21" s="70">
        <f>C21+D21</f>
        <v>39</v>
      </c>
      <c r="F21" s="70"/>
      <c r="G21" s="70">
        <v>33.9</v>
      </c>
      <c r="H21" s="67">
        <f>G21+M21</f>
        <v>39.199999999999996</v>
      </c>
      <c r="I21" s="76">
        <f t="shared" si="1"/>
        <v>1.0051282051282051</v>
      </c>
      <c r="J21" s="76">
        <f t="shared" si="6"/>
        <v>0</v>
      </c>
      <c r="K21" s="70">
        <v>61.4</v>
      </c>
      <c r="L21" s="76">
        <f t="shared" si="4"/>
        <v>0.6384364820846905</v>
      </c>
      <c r="M21" s="70">
        <v>5.3</v>
      </c>
      <c r="N21" s="70">
        <v>6</v>
      </c>
      <c r="O21" s="76">
        <f t="shared" si="2"/>
        <v>0.8833333333333333</v>
      </c>
      <c r="P21" s="70">
        <v>36.700000000000003</v>
      </c>
      <c r="Q21" s="70">
        <v>23.9</v>
      </c>
      <c r="R21" s="70">
        <v>31.6</v>
      </c>
      <c r="T21" s="26"/>
    </row>
    <row r="22" spans="1:20" ht="18">
      <c r="A22" s="13" t="s">
        <v>12</v>
      </c>
      <c r="B22" s="13">
        <v>1060103010</v>
      </c>
      <c r="C22" s="70">
        <v>68</v>
      </c>
      <c r="D22" s="67">
        <v>-13</v>
      </c>
      <c r="E22" s="70">
        <f>C22+D22</f>
        <v>55</v>
      </c>
      <c r="F22" s="70"/>
      <c r="G22" s="70">
        <v>47.9</v>
      </c>
      <c r="H22" s="67">
        <f>G22+M22</f>
        <v>54.8</v>
      </c>
      <c r="I22" s="76">
        <f t="shared" si="1"/>
        <v>0.99636363636363634</v>
      </c>
      <c r="J22" s="76">
        <f t="shared" si="6"/>
        <v>0</v>
      </c>
      <c r="K22" s="70">
        <v>64.400000000000006</v>
      </c>
      <c r="L22" s="76">
        <f t="shared" si="4"/>
        <v>0.85093167701863337</v>
      </c>
      <c r="M22" s="70">
        <v>6.9</v>
      </c>
      <c r="N22" s="70">
        <v>12.5</v>
      </c>
      <c r="O22" s="76">
        <f t="shared" si="2"/>
        <v>0.55200000000000005</v>
      </c>
      <c r="P22" s="70">
        <v>16.7</v>
      </c>
      <c r="Q22" s="70">
        <v>11.8</v>
      </c>
      <c r="R22" s="70">
        <v>16.7</v>
      </c>
      <c r="T22" s="151"/>
    </row>
    <row r="23" spans="1:20" ht="17.25" customHeight="1">
      <c r="A23" s="9" t="s">
        <v>72</v>
      </c>
      <c r="B23" s="30">
        <v>1080402001</v>
      </c>
      <c r="C23" s="71">
        <v>5</v>
      </c>
      <c r="D23" s="72">
        <v>2.8</v>
      </c>
      <c r="E23" s="71">
        <f>C23+D23</f>
        <v>7.8</v>
      </c>
      <c r="F23" s="71"/>
      <c r="G23" s="71">
        <v>7.4</v>
      </c>
      <c r="H23" s="72">
        <f>G23+M23</f>
        <v>8.1</v>
      </c>
      <c r="I23" s="86">
        <f t="shared" si="1"/>
        <v>1.0384615384615385</v>
      </c>
      <c r="J23" s="86">
        <f t="shared" si="6"/>
        <v>0</v>
      </c>
      <c r="K23" s="71">
        <v>5.2</v>
      </c>
      <c r="L23" s="86">
        <f t="shared" si="4"/>
        <v>1.5576923076923075</v>
      </c>
      <c r="M23" s="71">
        <v>0.7</v>
      </c>
      <c r="N23" s="71">
        <v>0.2</v>
      </c>
      <c r="O23" s="86">
        <f t="shared" si="2"/>
        <v>3.4999999999999996</v>
      </c>
      <c r="P23" s="71"/>
      <c r="Q23" s="205"/>
      <c r="R23" s="71"/>
      <c r="T23" s="26"/>
    </row>
    <row r="24" spans="1:20" ht="18" hidden="1">
      <c r="A24" s="9" t="s">
        <v>73</v>
      </c>
      <c r="B24" s="30">
        <v>1090405010</v>
      </c>
      <c r="C24" s="71"/>
      <c r="D24" s="71"/>
      <c r="E24" s="71">
        <f>C24+D24</f>
        <v>0</v>
      </c>
      <c r="F24" s="71"/>
      <c r="G24" s="71"/>
      <c r="H24" s="72">
        <f>G24+M24</f>
        <v>0</v>
      </c>
      <c r="I24" s="86">
        <f t="shared" si="1"/>
        <v>0</v>
      </c>
      <c r="J24" s="86">
        <f t="shared" si="6"/>
        <v>0</v>
      </c>
      <c r="K24" s="71"/>
      <c r="L24" s="86">
        <f t="shared" si="4"/>
        <v>0</v>
      </c>
      <c r="M24" s="71"/>
      <c r="N24" s="71"/>
      <c r="O24" s="86">
        <f t="shared" si="2"/>
        <v>0</v>
      </c>
      <c r="P24" s="71"/>
      <c r="Q24" s="203">
        <f>Q25+Q28+Q32+Q29</f>
        <v>0</v>
      </c>
      <c r="R24" s="71"/>
      <c r="T24" s="26"/>
    </row>
    <row r="25" spans="1:20" ht="18">
      <c r="A25" s="32" t="s">
        <v>22</v>
      </c>
      <c r="B25" s="32"/>
      <c r="C25" s="85">
        <f t="shared" ref="C25:H25" si="15">C26+C29+C33+C30+C32+C31</f>
        <v>1085.989</v>
      </c>
      <c r="D25" s="85">
        <f t="shared" si="15"/>
        <v>-189.83199999999999</v>
      </c>
      <c r="E25" s="85">
        <f t="shared" si="15"/>
        <v>896.15700000000004</v>
      </c>
      <c r="F25" s="85">
        <f t="shared" si="15"/>
        <v>0</v>
      </c>
      <c r="G25" s="85">
        <f>G26+G29+G33+G30+G32+G31</f>
        <v>907.30000000000007</v>
      </c>
      <c r="H25" s="85">
        <f t="shared" si="15"/>
        <v>921.9</v>
      </c>
      <c r="I25" s="89">
        <f t="shared" si="1"/>
        <v>1.0287259933248303</v>
      </c>
      <c r="J25" s="89">
        <f t="shared" si="6"/>
        <v>0</v>
      </c>
      <c r="K25" s="85">
        <f>K26+K29+K33+K30+K32+K31</f>
        <v>928.8</v>
      </c>
      <c r="L25" s="89">
        <f t="shared" si="4"/>
        <v>0.99257105943152457</v>
      </c>
      <c r="M25" s="85">
        <f>M26+M29+M33+M30+M32+M31</f>
        <v>14.599999999999998</v>
      </c>
      <c r="N25" s="85">
        <f>N26+N29+N33+N30+N32+N31</f>
        <v>33.400000000000006</v>
      </c>
      <c r="O25" s="89">
        <f t="shared" si="2"/>
        <v>0.43712574850299385</v>
      </c>
      <c r="P25" s="75">
        <f>P26+P29+P33+P30</f>
        <v>0</v>
      </c>
      <c r="Q25" s="204">
        <f>Q26+Q27</f>
        <v>0</v>
      </c>
      <c r="R25" s="75">
        <f>R26+R29+R33+R30</f>
        <v>0</v>
      </c>
      <c r="T25" s="26"/>
    </row>
    <row r="26" spans="1:20" ht="18">
      <c r="A26" s="9" t="s">
        <v>74</v>
      </c>
      <c r="B26" s="30">
        <v>1110000000</v>
      </c>
      <c r="C26" s="71">
        <f t="shared" ref="C26:H26" si="16">C27+C28</f>
        <v>108</v>
      </c>
      <c r="D26" s="71">
        <f t="shared" si="16"/>
        <v>2.4220000000000002</v>
      </c>
      <c r="E26" s="71">
        <f t="shared" si="16"/>
        <v>110.422</v>
      </c>
      <c r="F26" s="71">
        <f t="shared" si="16"/>
        <v>0</v>
      </c>
      <c r="G26" s="71">
        <f>G27+G28</f>
        <v>96.1</v>
      </c>
      <c r="H26" s="71">
        <f t="shared" si="16"/>
        <v>135.39999999999998</v>
      </c>
      <c r="I26" s="86">
        <f t="shared" si="1"/>
        <v>1.2262049229320242</v>
      </c>
      <c r="J26" s="86">
        <f t="shared" si="6"/>
        <v>0</v>
      </c>
      <c r="K26" s="71">
        <f>K27+K28</f>
        <v>134.79999999999998</v>
      </c>
      <c r="L26" s="86">
        <f t="shared" si="4"/>
        <v>1.0044510385756675</v>
      </c>
      <c r="M26" s="71">
        <f>M27+M28</f>
        <v>39.299999999999997</v>
      </c>
      <c r="N26" s="71">
        <f>N27+N28</f>
        <v>33.400000000000006</v>
      </c>
      <c r="O26" s="86">
        <f t="shared" si="2"/>
        <v>1.176646706586826</v>
      </c>
      <c r="P26" s="71">
        <f>P27+P28</f>
        <v>0</v>
      </c>
      <c r="Q26" s="207"/>
      <c r="R26" s="71">
        <f>R27+R28</f>
        <v>0</v>
      </c>
      <c r="T26" s="26"/>
    </row>
    <row r="27" spans="1:20" ht="19.5" customHeight="1">
      <c r="A27" s="13" t="s">
        <v>106</v>
      </c>
      <c r="B27" s="13">
        <v>1110502510</v>
      </c>
      <c r="C27" s="70"/>
      <c r="D27" s="67"/>
      <c r="E27" s="70">
        <f t="shared" ref="E27:E32" si="17">C27+D27</f>
        <v>0</v>
      </c>
      <c r="F27" s="70"/>
      <c r="G27" s="70"/>
      <c r="H27" s="67">
        <f t="shared" ref="H27:H32" si="18">G27+M27</f>
        <v>0</v>
      </c>
      <c r="I27" s="76">
        <f t="shared" si="1"/>
        <v>0</v>
      </c>
      <c r="J27" s="76">
        <f t="shared" si="6"/>
        <v>0</v>
      </c>
      <c r="K27" s="70">
        <v>0.2</v>
      </c>
      <c r="L27" s="76">
        <f t="shared" si="4"/>
        <v>0</v>
      </c>
      <c r="M27" s="70"/>
      <c r="N27" s="70">
        <v>0.2</v>
      </c>
      <c r="O27" s="76">
        <f t="shared" si="2"/>
        <v>0</v>
      </c>
      <c r="P27" s="70"/>
      <c r="Q27" s="205"/>
      <c r="R27" s="70"/>
      <c r="T27" s="26"/>
    </row>
    <row r="28" spans="1:20" ht="18">
      <c r="A28" s="33" t="s">
        <v>23</v>
      </c>
      <c r="B28" s="13">
        <v>1110904510</v>
      </c>
      <c r="C28" s="70">
        <v>108</v>
      </c>
      <c r="D28" s="82">
        <v>2.4220000000000002</v>
      </c>
      <c r="E28" s="70">
        <f t="shared" si="17"/>
        <v>110.422</v>
      </c>
      <c r="F28" s="70"/>
      <c r="G28" s="70">
        <v>96.1</v>
      </c>
      <c r="H28" s="67">
        <f t="shared" si="18"/>
        <v>135.39999999999998</v>
      </c>
      <c r="I28" s="76">
        <f t="shared" si="1"/>
        <v>1.2262049229320242</v>
      </c>
      <c r="J28" s="76">
        <f t="shared" si="6"/>
        <v>0</v>
      </c>
      <c r="K28" s="70">
        <v>134.6</v>
      </c>
      <c r="L28" s="76">
        <f t="shared" si="4"/>
        <v>1.0059435364041605</v>
      </c>
      <c r="M28" s="70">
        <v>39.299999999999997</v>
      </c>
      <c r="N28" s="70">
        <v>33.200000000000003</v>
      </c>
      <c r="O28" s="76">
        <f t="shared" si="2"/>
        <v>1.183734939759036</v>
      </c>
      <c r="P28" s="70"/>
      <c r="Q28" s="205"/>
      <c r="R28" s="70"/>
      <c r="T28" s="26"/>
    </row>
    <row r="29" spans="1:20" ht="18">
      <c r="A29" s="9" t="s">
        <v>38</v>
      </c>
      <c r="B29" s="30">
        <v>1130299510</v>
      </c>
      <c r="C29" s="71"/>
      <c r="D29" s="71">
        <f>1.074-1.074</f>
        <v>0</v>
      </c>
      <c r="E29" s="71">
        <f t="shared" si="17"/>
        <v>0</v>
      </c>
      <c r="F29" s="71"/>
      <c r="G29" s="71"/>
      <c r="H29" s="72">
        <f t="shared" si="18"/>
        <v>0</v>
      </c>
      <c r="I29" s="86">
        <f t="shared" si="1"/>
        <v>0</v>
      </c>
      <c r="J29" s="86">
        <f t="shared" si="6"/>
        <v>0</v>
      </c>
      <c r="K29" s="71"/>
      <c r="L29" s="86">
        <f t="shared" si="4"/>
        <v>0</v>
      </c>
      <c r="M29" s="71"/>
      <c r="N29" s="71"/>
      <c r="O29" s="86">
        <f t="shared" si="2"/>
        <v>0</v>
      </c>
      <c r="P29" s="71"/>
      <c r="Q29" s="207"/>
      <c r="R29" s="71"/>
      <c r="T29" s="26"/>
    </row>
    <row r="30" spans="1:20" ht="18">
      <c r="A30" s="9" t="s">
        <v>76</v>
      </c>
      <c r="B30" s="30">
        <v>1140601410</v>
      </c>
      <c r="C30" s="71"/>
      <c r="D30" s="71"/>
      <c r="E30" s="71">
        <f t="shared" si="17"/>
        <v>0</v>
      </c>
      <c r="F30" s="71"/>
      <c r="G30" s="71"/>
      <c r="H30" s="72">
        <f t="shared" si="18"/>
        <v>0</v>
      </c>
      <c r="I30" s="86">
        <f>IF(E30&gt;0,H30/E30,0)</f>
        <v>0</v>
      </c>
      <c r="J30" s="86">
        <f>IF(F30&gt;0,H30/F30,0)</f>
        <v>0</v>
      </c>
      <c r="K30" s="71"/>
      <c r="L30" s="86">
        <f t="shared" si="4"/>
        <v>0</v>
      </c>
      <c r="M30" s="71"/>
      <c r="N30" s="71"/>
      <c r="O30" s="86">
        <f t="shared" si="2"/>
        <v>0</v>
      </c>
      <c r="P30" s="71"/>
      <c r="Q30" s="207"/>
      <c r="R30" s="71"/>
      <c r="T30" s="26"/>
    </row>
    <row r="31" spans="1:20" ht="18">
      <c r="A31" s="9" t="s">
        <v>75</v>
      </c>
      <c r="B31" s="30">
        <v>1140205310</v>
      </c>
      <c r="C31" s="71"/>
      <c r="D31" s="71"/>
      <c r="E31" s="71">
        <f t="shared" si="17"/>
        <v>0</v>
      </c>
      <c r="F31" s="71"/>
      <c r="G31" s="71"/>
      <c r="H31" s="72">
        <f t="shared" si="18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4"/>
        <v>0</v>
      </c>
      <c r="M31" s="71"/>
      <c r="N31" s="71"/>
      <c r="O31" s="86">
        <f t="shared" si="2"/>
        <v>0</v>
      </c>
      <c r="P31" s="71"/>
      <c r="Q31" s="207"/>
      <c r="R31" s="71"/>
      <c r="T31" s="26"/>
    </row>
    <row r="32" spans="1:20" ht="18">
      <c r="A32" s="9" t="s">
        <v>79</v>
      </c>
      <c r="B32" s="30">
        <v>1169005010</v>
      </c>
      <c r="C32" s="71"/>
      <c r="D32" s="71"/>
      <c r="E32" s="71">
        <f t="shared" si="17"/>
        <v>0</v>
      </c>
      <c r="F32" s="71"/>
      <c r="G32" s="71"/>
      <c r="H32" s="72">
        <f t="shared" si="18"/>
        <v>0</v>
      </c>
      <c r="I32" s="86">
        <f>IF(E32&gt;0,H32/E32,0)</f>
        <v>0</v>
      </c>
      <c r="J32" s="86">
        <f>IF(F32&gt;0,H32/F32,0)</f>
        <v>0</v>
      </c>
      <c r="K32" s="71"/>
      <c r="L32" s="86">
        <f t="shared" si="4"/>
        <v>0</v>
      </c>
      <c r="M32" s="71"/>
      <c r="N32" s="71"/>
      <c r="O32" s="86">
        <f t="shared" si="2"/>
        <v>0</v>
      </c>
      <c r="P32" s="71"/>
      <c r="Q32" s="207">
        <f t="shared" ref="Q32" si="19">SUM(Q33:Q34)</f>
        <v>0</v>
      </c>
      <c r="R32" s="71"/>
      <c r="T32" s="26"/>
    </row>
    <row r="33" spans="1:20" ht="18">
      <c r="A33" s="9" t="s">
        <v>69</v>
      </c>
      <c r="B33" s="30">
        <v>1170000000</v>
      </c>
      <c r="C33" s="71">
        <f>SUM(C34:C36)</f>
        <v>977.98900000000003</v>
      </c>
      <c r="D33" s="71">
        <f t="shared" ref="D33:H33" si="20">SUM(D34:D36)</f>
        <v>-192.25399999999999</v>
      </c>
      <c r="E33" s="71">
        <f t="shared" si="20"/>
        <v>785.73500000000001</v>
      </c>
      <c r="F33" s="71">
        <f t="shared" si="20"/>
        <v>0</v>
      </c>
      <c r="G33" s="71">
        <f t="shared" si="20"/>
        <v>811.2</v>
      </c>
      <c r="H33" s="71">
        <f t="shared" si="20"/>
        <v>786.5</v>
      </c>
      <c r="I33" s="86">
        <f>IF(E33&gt;0,H33/E33,0)</f>
        <v>1.0009736106957181</v>
      </c>
      <c r="J33" s="86">
        <f>IF(F33&gt;0,H33/F33,0)</f>
        <v>0</v>
      </c>
      <c r="K33" s="71">
        <f t="shared" ref="K33" si="21">SUM(K34:K36)</f>
        <v>794</v>
      </c>
      <c r="L33" s="86">
        <f t="shared" si="4"/>
        <v>0.99055415617128462</v>
      </c>
      <c r="M33" s="71">
        <f t="shared" ref="M33:N33" si="22">SUM(M34:M36)</f>
        <v>-24.7</v>
      </c>
      <c r="N33" s="71">
        <f t="shared" si="22"/>
        <v>0</v>
      </c>
      <c r="O33" s="86">
        <f t="shared" si="2"/>
        <v>0</v>
      </c>
      <c r="P33" s="71">
        <f t="shared" ref="P33:R33" si="23">SUM(P34:P35)</f>
        <v>0</v>
      </c>
      <c r="Q33" s="208"/>
      <c r="R33" s="71">
        <f t="shared" si="23"/>
        <v>0</v>
      </c>
      <c r="T33" s="26"/>
    </row>
    <row r="34" spans="1:20" ht="18">
      <c r="A34" s="13" t="s">
        <v>8</v>
      </c>
      <c r="B34" s="13">
        <v>1170103003</v>
      </c>
      <c r="C34" s="70"/>
      <c r="D34" s="70"/>
      <c r="E34" s="70">
        <f>C34+D34</f>
        <v>0</v>
      </c>
      <c r="F34" s="70"/>
      <c r="G34" s="70"/>
      <c r="H34" s="67">
        <f>G34+M34</f>
        <v>0.8</v>
      </c>
      <c r="I34" s="76">
        <f t="shared" si="1"/>
        <v>0</v>
      </c>
      <c r="J34" s="76">
        <f t="shared" si="6"/>
        <v>0</v>
      </c>
      <c r="K34" s="70"/>
      <c r="L34" s="76">
        <f t="shared" si="4"/>
        <v>0</v>
      </c>
      <c r="M34" s="70">
        <v>0.8</v>
      </c>
      <c r="N34" s="70"/>
      <c r="O34" s="76">
        <f t="shared" si="2"/>
        <v>0</v>
      </c>
      <c r="P34" s="76"/>
      <c r="Q34" s="205"/>
      <c r="R34" s="76"/>
      <c r="T34" s="26"/>
    </row>
    <row r="35" spans="1:20" ht="18">
      <c r="A35" s="13" t="s">
        <v>33</v>
      </c>
      <c r="B35" s="13">
        <v>1170505010</v>
      </c>
      <c r="C35" s="70"/>
      <c r="D35" s="81"/>
      <c r="E35" s="70">
        <f>C35+D35</f>
        <v>0</v>
      </c>
      <c r="F35" s="70"/>
      <c r="G35" s="70"/>
      <c r="H35" s="67">
        <f>G35+M35</f>
        <v>0</v>
      </c>
      <c r="I35" s="76">
        <f>IF(E35&gt;0,H35/E35,0)</f>
        <v>0</v>
      </c>
      <c r="J35" s="76">
        <f>IF(F35&gt;0,H35/F35,0)</f>
        <v>0</v>
      </c>
      <c r="K35" s="70">
        <v>0.1</v>
      </c>
      <c r="L35" s="76">
        <f>IF(K35&gt;0,H35/K35,0)</f>
        <v>0</v>
      </c>
      <c r="M35" s="70"/>
      <c r="N35" s="70"/>
      <c r="O35" s="76">
        <f>IF(N35&gt;0,M35/N35,0)</f>
        <v>0</v>
      </c>
      <c r="P35" s="70"/>
      <c r="Q35" s="205"/>
      <c r="R35" s="70"/>
      <c r="T35" s="26"/>
    </row>
    <row r="36" spans="1:20" ht="18.75" customHeight="1">
      <c r="A36" s="163" t="s">
        <v>114</v>
      </c>
      <c r="B36" s="163">
        <v>1171503010</v>
      </c>
      <c r="C36" s="70">
        <v>977.98900000000003</v>
      </c>
      <c r="D36" s="82">
        <v>-192.25399999999999</v>
      </c>
      <c r="E36" s="70">
        <f>C36+D36</f>
        <v>785.73500000000001</v>
      </c>
      <c r="F36" s="70"/>
      <c r="G36" s="70">
        <v>811.2</v>
      </c>
      <c r="H36" s="67">
        <f>G36+M36</f>
        <v>785.7</v>
      </c>
      <c r="I36" s="76">
        <f>IF(E36&gt;0,H36/E36,0)</f>
        <v>0.99995545571980382</v>
      </c>
      <c r="J36" s="76"/>
      <c r="K36" s="70">
        <v>793.9</v>
      </c>
      <c r="L36" s="76">
        <f>IF(K36&gt;0,H36/K36,0)</f>
        <v>0.98967124322962596</v>
      </c>
      <c r="M36" s="70">
        <v>-25.5</v>
      </c>
      <c r="N36" s="70"/>
      <c r="O36" s="76">
        <f>IF(N36&gt;0,M36/N36,0)</f>
        <v>0</v>
      </c>
      <c r="P36" s="70"/>
      <c r="Q36" s="206"/>
      <c r="R36" s="70"/>
      <c r="T36" s="26"/>
    </row>
    <row r="37" spans="1:20" ht="18">
      <c r="A37" s="9" t="s">
        <v>6</v>
      </c>
      <c r="B37" s="9">
        <v>1000000000</v>
      </c>
      <c r="C37" s="78">
        <f t="shared" ref="C37:H37" si="24">C5+C25</f>
        <v>3126.8890000000001</v>
      </c>
      <c r="D37" s="77">
        <f t="shared" si="24"/>
        <v>-339.43199999999996</v>
      </c>
      <c r="E37" s="77">
        <f t="shared" si="24"/>
        <v>2787.4569999999999</v>
      </c>
      <c r="F37" s="78">
        <f t="shared" si="24"/>
        <v>0</v>
      </c>
      <c r="G37" s="78">
        <f>G5+G25</f>
        <v>2726.0000000000005</v>
      </c>
      <c r="H37" s="78">
        <f t="shared" si="24"/>
        <v>2925.1</v>
      </c>
      <c r="I37" s="90">
        <f t="shared" si="1"/>
        <v>1.049379416435841</v>
      </c>
      <c r="J37" s="90">
        <f t="shared" si="6"/>
        <v>0</v>
      </c>
      <c r="K37" s="78">
        <f>K5+K25</f>
        <v>2821.8</v>
      </c>
      <c r="L37" s="90">
        <f t="shared" si="4"/>
        <v>1.0366078389680344</v>
      </c>
      <c r="M37" s="78">
        <f>M5+M25</f>
        <v>199.1</v>
      </c>
      <c r="N37" s="78">
        <f>N5+N25</f>
        <v>234.3</v>
      </c>
      <c r="O37" s="90">
        <f t="shared" si="2"/>
        <v>0.84976525821596238</v>
      </c>
      <c r="P37" s="78">
        <f>P5+P25</f>
        <v>58.2</v>
      </c>
      <c r="Q37" s="78">
        <f>Q5+Q25</f>
        <v>43.7</v>
      </c>
      <c r="R37" s="78">
        <f>R5+R25</f>
        <v>55.3</v>
      </c>
      <c r="T37" s="26"/>
    </row>
    <row r="38" spans="1:20" ht="18">
      <c r="A38" s="9" t="s">
        <v>92</v>
      </c>
      <c r="B38" s="9"/>
      <c r="C38" s="78">
        <f t="shared" ref="C38:H38" si="25">C37-C11</f>
        <v>2375.989</v>
      </c>
      <c r="D38" s="77">
        <f t="shared" si="25"/>
        <v>-393.93199999999996</v>
      </c>
      <c r="E38" s="77">
        <f t="shared" si="25"/>
        <v>1982.0569999999998</v>
      </c>
      <c r="F38" s="78">
        <f t="shared" si="25"/>
        <v>0</v>
      </c>
      <c r="G38" s="78">
        <f>G37-G11</f>
        <v>1988.4000000000005</v>
      </c>
      <c r="H38" s="78">
        <f t="shared" si="25"/>
        <v>2119.6999999999998</v>
      </c>
      <c r="I38" s="90">
        <f>IF(E38&gt;0,H38/E38,0)</f>
        <v>1.0694445215248602</v>
      </c>
      <c r="J38" s="90">
        <f>IF(F38&gt;0,H38/F38,0)</f>
        <v>0</v>
      </c>
      <c r="K38" s="78">
        <f>K37-K11</f>
        <v>2062.6999999999998</v>
      </c>
      <c r="L38" s="90">
        <f t="shared" si="4"/>
        <v>1.0276336840063993</v>
      </c>
      <c r="M38" s="78">
        <f>M37-M11</f>
        <v>131.29999999999998</v>
      </c>
      <c r="N38" s="78">
        <f>N37-N11</f>
        <v>160.69999999999999</v>
      </c>
      <c r="O38" s="90">
        <f t="shared" si="2"/>
        <v>0.81705040448039823</v>
      </c>
      <c r="P38" s="78"/>
      <c r="Q38" s="205"/>
      <c r="R38" s="78"/>
      <c r="T38" s="153"/>
    </row>
    <row r="39" spans="1:20" ht="18">
      <c r="A39" s="13" t="s">
        <v>25</v>
      </c>
      <c r="B39" s="13">
        <v>2000000000</v>
      </c>
      <c r="C39" s="82">
        <v>13170.4</v>
      </c>
      <c r="D39" s="82">
        <f>4500+387+43+628.5-90-637.3+1060-1134.776</f>
        <v>4756.424</v>
      </c>
      <c r="E39" s="82">
        <f>C39+D39</f>
        <v>17926.824000000001</v>
      </c>
      <c r="F39" s="70"/>
      <c r="G39" s="70">
        <v>16871.5</v>
      </c>
      <c r="H39" s="67">
        <f>G39+M39</f>
        <v>17926.8</v>
      </c>
      <c r="I39" s="76">
        <f t="shared" si="1"/>
        <v>0.99999866122409631</v>
      </c>
      <c r="J39" s="76">
        <f t="shared" si="6"/>
        <v>0</v>
      </c>
      <c r="K39" s="70">
        <v>14292.5</v>
      </c>
      <c r="L39" s="76">
        <f t="shared" si="4"/>
        <v>1.2542802168969738</v>
      </c>
      <c r="M39" s="70">
        <v>1055.3</v>
      </c>
      <c r="N39" s="70">
        <v>1025.0999999999999</v>
      </c>
      <c r="O39" s="76">
        <f t="shared" si="2"/>
        <v>1.0294605404350796</v>
      </c>
      <c r="P39" s="70"/>
      <c r="Q39" s="205"/>
      <c r="R39" s="70"/>
      <c r="T39" s="26"/>
    </row>
    <row r="40" spans="1:20" ht="18">
      <c r="A40" s="13" t="s">
        <v>46</v>
      </c>
      <c r="B40" s="34" t="s">
        <v>102</v>
      </c>
      <c r="C40" s="70">
        <v>16.8</v>
      </c>
      <c r="D40" s="81">
        <v>-16.8</v>
      </c>
      <c r="E40" s="70">
        <f>C40+D40</f>
        <v>0</v>
      </c>
      <c r="F40" s="70"/>
      <c r="G40" s="70"/>
      <c r="H40" s="67">
        <f>G40+M40</f>
        <v>0</v>
      </c>
      <c r="I40" s="76">
        <f>IF(E40&gt;0,H40/E40,0)</f>
        <v>0</v>
      </c>
      <c r="J40" s="76">
        <f>IF(F40&gt;0,H40/F40,0)</f>
        <v>0</v>
      </c>
      <c r="K40" s="70"/>
      <c r="L40" s="76">
        <f t="shared" si="4"/>
        <v>0</v>
      </c>
      <c r="M40" s="70"/>
      <c r="N40" s="70"/>
      <c r="O40" s="76">
        <f t="shared" si="2"/>
        <v>0</v>
      </c>
      <c r="P40" s="70"/>
      <c r="Q40" s="205"/>
      <c r="R40" s="70"/>
      <c r="T40" s="26"/>
    </row>
    <row r="41" spans="1:20" ht="18">
      <c r="A41" s="13" t="s">
        <v>46</v>
      </c>
      <c r="B41" s="167" t="s">
        <v>120</v>
      </c>
      <c r="C41" s="70">
        <v>11.7</v>
      </c>
      <c r="D41" s="81">
        <f>16.8-3</f>
        <v>13.8</v>
      </c>
      <c r="E41" s="70">
        <f>C41+D41</f>
        <v>25.5</v>
      </c>
      <c r="F41" s="70"/>
      <c r="G41" s="70"/>
      <c r="H41" s="67">
        <f>G41+M41</f>
        <v>25.5</v>
      </c>
      <c r="I41" s="76">
        <f>IF(E41&gt;0,H41/E41,0)</f>
        <v>1</v>
      </c>
      <c r="J41" s="76"/>
      <c r="K41" s="70">
        <v>21</v>
      </c>
      <c r="L41" s="76">
        <f t="shared" si="4"/>
        <v>1.2142857142857142</v>
      </c>
      <c r="M41" s="70">
        <v>25.5</v>
      </c>
      <c r="N41" s="70"/>
      <c r="O41" s="76">
        <f t="shared" si="2"/>
        <v>0</v>
      </c>
      <c r="P41" s="70"/>
      <c r="Q41" s="206"/>
      <c r="R41" s="70"/>
      <c r="T41" s="26"/>
    </row>
    <row r="42" spans="1:20" ht="18">
      <c r="A42" s="13" t="s">
        <v>116</v>
      </c>
      <c r="B42" s="167" t="s">
        <v>126</v>
      </c>
      <c r="C42" s="70"/>
      <c r="D42" s="81"/>
      <c r="E42" s="70"/>
      <c r="F42" s="70"/>
      <c r="G42" s="70">
        <v>0</v>
      </c>
      <c r="H42" s="67">
        <f>G42+M42</f>
        <v>0</v>
      </c>
      <c r="I42" s="76">
        <f>IF(E42&gt;0,H42/E42,0)</f>
        <v>0</v>
      </c>
      <c r="J42" s="76"/>
      <c r="K42" s="70"/>
      <c r="L42" s="76">
        <f t="shared" si="4"/>
        <v>0</v>
      </c>
      <c r="M42" s="70"/>
      <c r="N42" s="70"/>
      <c r="O42" s="76"/>
      <c r="P42" s="70"/>
      <c r="Q42" s="206"/>
      <c r="R42" s="70"/>
      <c r="T42" s="26"/>
    </row>
    <row r="43" spans="1:20" ht="18">
      <c r="A43" s="9" t="s">
        <v>2</v>
      </c>
      <c r="B43" s="9">
        <v>0</v>
      </c>
      <c r="C43" s="77">
        <f>C37+C39+C40+C41</f>
        <v>16325.789000000001</v>
      </c>
      <c r="D43" s="77">
        <f t="shared" ref="D43:F43" si="26">D37+D39+D40+D41</f>
        <v>4413.9920000000002</v>
      </c>
      <c r="E43" s="77">
        <f t="shared" si="26"/>
        <v>20739.780999999999</v>
      </c>
      <c r="F43" s="77">
        <f t="shared" si="26"/>
        <v>0</v>
      </c>
      <c r="G43" s="78">
        <f>G37+G39+G40+G41+G42</f>
        <v>19597.5</v>
      </c>
      <c r="H43" s="78">
        <f>H37+H39+H40+H41+H42</f>
        <v>20877.399999999998</v>
      </c>
      <c r="I43" s="90">
        <f t="shared" si="1"/>
        <v>1.0066355088320362</v>
      </c>
      <c r="J43" s="90"/>
      <c r="K43" s="78">
        <f t="shared" ref="K43" si="27">K37+K39+K40+K41</f>
        <v>17135.3</v>
      </c>
      <c r="L43" s="78">
        <f t="shared" ref="L43" si="28">L37+L39+L40+L41</f>
        <v>3.5051737701507228</v>
      </c>
      <c r="M43" s="78">
        <f>M37+M39+M40+M41+M42</f>
        <v>1279.8999999999999</v>
      </c>
      <c r="N43" s="78">
        <f t="shared" ref="N43" si="29">N37+N39+N40+N41</f>
        <v>1259.3999999999999</v>
      </c>
      <c r="O43" s="90">
        <f t="shared" si="2"/>
        <v>1.0162775925043672</v>
      </c>
      <c r="P43" s="91">
        <f>P37+P39</f>
        <v>58.2</v>
      </c>
      <c r="Q43" s="91">
        <f>Q37+Q39</f>
        <v>43.7</v>
      </c>
      <c r="R43" s="78">
        <f>R37+R39</f>
        <v>55.3</v>
      </c>
      <c r="T43" s="26"/>
    </row>
    <row r="44" spans="1:20" ht="21.75" customHeight="1">
      <c r="D44" t="s">
        <v>141</v>
      </c>
      <c r="E44">
        <v>256.90899999999999</v>
      </c>
      <c r="H44" s="27"/>
      <c r="I44" s="27"/>
      <c r="T44" s="26"/>
    </row>
    <row r="45" spans="1:20">
      <c r="D45" t="s">
        <v>142</v>
      </c>
      <c r="E45">
        <v>20996.69</v>
      </c>
    </row>
    <row r="46" spans="1:20">
      <c r="E46" s="154">
        <f>E43+E44-E45</f>
        <v>0</v>
      </c>
    </row>
  </sheetData>
  <mergeCells count="15"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  <mergeCell ref="C1:M1"/>
    <mergeCell ref="B2:R2"/>
    <mergeCell ref="G3:G4"/>
    <mergeCell ref="K3:L3"/>
    <mergeCell ref="H3:J3"/>
  </mergeCells>
  <phoneticPr fontId="0" type="noConversion"/>
  <pageMargins left="0.75" right="0.75" top="1" bottom="1" header="0.5" footer="0.5"/>
  <pageSetup paperSize="9" scale="52" orientation="landscape" r:id="rId1"/>
  <headerFooter alignWithMargins="0"/>
  <ignoredErrors>
    <ignoredError sqref="H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4"/>
  <sheetViews>
    <sheetView zoomScaleNormal="100" workbookViewId="0">
      <pane xSplit="2" ySplit="4" topLeftCell="E5" activePane="bottomRight" state="frozen"/>
      <selection pane="topRight" activeCell="D1" sqref="D1"/>
      <selection pane="bottomLeft" activeCell="A5" sqref="A5"/>
      <selection pane="bottomRight" activeCell="R22" sqref="R22"/>
    </sheetView>
  </sheetViews>
  <sheetFormatPr defaultRowHeight="12.75"/>
  <cols>
    <col min="1" max="1" width="44.140625" customWidth="1"/>
    <col min="2" max="2" width="15.140625" customWidth="1"/>
    <col min="3" max="3" width="14.28515625" customWidth="1"/>
    <col min="4" max="4" width="13.7109375" customWidth="1"/>
    <col min="5" max="5" width="13.140625" customWidth="1"/>
    <col min="6" max="6" width="0.5703125" hidden="1" customWidth="1"/>
    <col min="7" max="7" width="10.85546875" customWidth="1"/>
    <col min="8" max="8" width="11.42578125" customWidth="1"/>
    <col min="9" max="9" width="12.42578125" customWidth="1"/>
    <col min="10" max="10" width="10.7109375" hidden="1" customWidth="1"/>
    <col min="11" max="11" width="11.42578125" customWidth="1"/>
    <col min="12" max="12" width="13.7109375" customWidth="1"/>
    <col min="13" max="13" width="11.42578125" customWidth="1"/>
    <col min="14" max="14" width="11.7109375" customWidth="1"/>
    <col min="15" max="15" width="16.28515625" customWidth="1"/>
    <col min="16" max="16" width="10.7109375" customWidth="1"/>
    <col min="17" max="18" width="10.140625" customWidth="1"/>
  </cols>
  <sheetData>
    <row r="1" spans="1:18" ht="15.75">
      <c r="A1" s="26"/>
      <c r="B1" s="47"/>
      <c r="C1" s="250" t="s">
        <v>11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48"/>
      <c r="O1" s="48"/>
      <c r="P1" s="26"/>
      <c r="Q1" s="26"/>
      <c r="R1" s="26"/>
    </row>
    <row r="2" spans="1:18" ht="15.75">
      <c r="A2" s="26"/>
      <c r="B2" s="255" t="s">
        <v>136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18" ht="13.5" customHeight="1">
      <c r="A3" s="245" t="s">
        <v>3</v>
      </c>
      <c r="B3" s="245" t="s">
        <v>4</v>
      </c>
      <c r="C3" s="245" t="s">
        <v>124</v>
      </c>
      <c r="D3" s="245" t="s">
        <v>24</v>
      </c>
      <c r="E3" s="252" t="s">
        <v>125</v>
      </c>
      <c r="F3" s="252" t="s">
        <v>99</v>
      </c>
      <c r="G3" s="245" t="s">
        <v>128</v>
      </c>
      <c r="H3" s="245" t="s">
        <v>123</v>
      </c>
      <c r="I3" s="245"/>
      <c r="J3" s="245"/>
      <c r="K3" s="245" t="s">
        <v>117</v>
      </c>
      <c r="L3" s="245"/>
      <c r="M3" s="245" t="s">
        <v>138</v>
      </c>
      <c r="N3" s="245" t="s">
        <v>139</v>
      </c>
      <c r="O3" s="245" t="s">
        <v>30</v>
      </c>
      <c r="P3" s="245" t="s">
        <v>9</v>
      </c>
      <c r="Q3" s="245"/>
      <c r="R3" s="245"/>
    </row>
    <row r="4" spans="1:18" ht="104.25" customHeight="1">
      <c r="A4" s="254"/>
      <c r="B4" s="254"/>
      <c r="C4" s="245"/>
      <c r="D4" s="245"/>
      <c r="E4" s="256"/>
      <c r="F4" s="256"/>
      <c r="G4" s="245"/>
      <c r="H4" s="210" t="s">
        <v>140</v>
      </c>
      <c r="I4" s="171" t="s">
        <v>10</v>
      </c>
      <c r="J4" s="171" t="s">
        <v>29</v>
      </c>
      <c r="K4" s="173" t="s">
        <v>140</v>
      </c>
      <c r="L4" s="171" t="s">
        <v>30</v>
      </c>
      <c r="M4" s="245"/>
      <c r="N4" s="245"/>
      <c r="O4" s="245"/>
      <c r="P4" s="121" t="s">
        <v>122</v>
      </c>
      <c r="Q4" s="121" t="s">
        <v>129</v>
      </c>
      <c r="R4" s="121" t="s">
        <v>132</v>
      </c>
    </row>
    <row r="5" spans="1:18" ht="20.25" customHeight="1">
      <c r="A5" s="29" t="s">
        <v>21</v>
      </c>
      <c r="B5" s="29"/>
      <c r="C5" s="88">
        <f t="shared" ref="C5:H5" si="0">C6+C16+C18+C23+C24+C11</f>
        <v>1196.2</v>
      </c>
      <c r="D5" s="88">
        <f t="shared" si="0"/>
        <v>0</v>
      </c>
      <c r="E5" s="88">
        <f t="shared" si="0"/>
        <v>1196.2</v>
      </c>
      <c r="F5" s="88">
        <f t="shared" si="0"/>
        <v>0</v>
      </c>
      <c r="G5" s="88">
        <f t="shared" si="0"/>
        <v>1156.8000000000002</v>
      </c>
      <c r="H5" s="88">
        <f t="shared" si="0"/>
        <v>1279.8000000000002</v>
      </c>
      <c r="I5" s="89">
        <f t="shared" ref="I5:I42" si="1">IF(E5&gt;0,H5/E5,0)</f>
        <v>1.0698879785988966</v>
      </c>
      <c r="J5" s="89">
        <f>IF(F5&gt;0,H5/F5,0)</f>
        <v>0</v>
      </c>
      <c r="K5" s="88">
        <f>K6+K16+K18+K23+K24+K11</f>
        <v>1222.8000000000002</v>
      </c>
      <c r="L5" s="89">
        <f>IF(K5&gt;0,H5/K5,0)</f>
        <v>1.0466143277723259</v>
      </c>
      <c r="M5" s="88">
        <f>M6+M16+M18+M23+M24+M11</f>
        <v>123</v>
      </c>
      <c r="N5" s="88">
        <f>N6+N16+N18+N23+N24+N11</f>
        <v>121.70000000000002</v>
      </c>
      <c r="O5" s="89">
        <f t="shared" ref="O5:O34" si="2">IF(N5&gt;0,M5/N5,0)</f>
        <v>1.0106820049301559</v>
      </c>
      <c r="P5" s="88">
        <f>P6+P16+P18+P23+P24+P11</f>
        <v>37.1</v>
      </c>
      <c r="Q5" s="88">
        <f>Q6+Q16+Q18+Q23+Q24+Q11</f>
        <v>31.799999999999997</v>
      </c>
      <c r="R5" s="88">
        <f>R6+R16+R18+R23+R24+R11</f>
        <v>37</v>
      </c>
    </row>
    <row r="6" spans="1:18" ht="18">
      <c r="A6" s="9" t="s">
        <v>63</v>
      </c>
      <c r="B6" s="30">
        <v>1010200001</v>
      </c>
      <c r="C6" s="71">
        <f>C7+C8+C10</f>
        <v>222</v>
      </c>
      <c r="D6" s="72">
        <f>D7+D8+D10</f>
        <v>33</v>
      </c>
      <c r="E6" s="71">
        <f>E7+E8+E10</f>
        <v>255</v>
      </c>
      <c r="F6" s="71">
        <f t="shared" ref="F6" si="3">F7+F8+F9</f>
        <v>0</v>
      </c>
      <c r="G6" s="72">
        <f>G7+G8+G10+G9</f>
        <v>258.3</v>
      </c>
      <c r="H6" s="72">
        <f>H7+H8+H10+H9</f>
        <v>292.2</v>
      </c>
      <c r="I6" s="86">
        <f t="shared" si="1"/>
        <v>1.1458823529411764</v>
      </c>
      <c r="J6" s="86">
        <f>IF(F6&gt;0,H6/F6,0)</f>
        <v>0</v>
      </c>
      <c r="K6" s="72">
        <f>K7+K8+K10</f>
        <v>219.3</v>
      </c>
      <c r="L6" s="86">
        <f t="shared" ref="L6:L42" si="4">IF(K6&gt;0,H6/K6,0)</f>
        <v>1.3324213406292749</v>
      </c>
      <c r="M6" s="72">
        <f>M7+M8+M10+M9</f>
        <v>33.9</v>
      </c>
      <c r="N6" s="72">
        <f>N7+N8+N10</f>
        <v>25</v>
      </c>
      <c r="O6" s="86">
        <f t="shared" si="2"/>
        <v>1.3559999999999999</v>
      </c>
      <c r="P6" s="71">
        <f>P7+P8+P9+P10</f>
        <v>0</v>
      </c>
      <c r="Q6" s="71">
        <f t="shared" ref="Q6:R6" si="5">Q7+Q8+Q9+Q10</f>
        <v>0</v>
      </c>
      <c r="R6" s="71">
        <f t="shared" si="5"/>
        <v>0</v>
      </c>
    </row>
    <row r="7" spans="1:18" ht="18" customHeight="1">
      <c r="A7" s="10" t="s">
        <v>44</v>
      </c>
      <c r="B7" s="13">
        <v>1010201001</v>
      </c>
      <c r="C7" s="70">
        <v>222</v>
      </c>
      <c r="D7" s="67">
        <v>33</v>
      </c>
      <c r="E7" s="70">
        <f>C7+D7</f>
        <v>255</v>
      </c>
      <c r="F7" s="70"/>
      <c r="G7" s="67">
        <v>256.60000000000002</v>
      </c>
      <c r="H7" s="67">
        <f>G7+M7</f>
        <v>290.5</v>
      </c>
      <c r="I7" s="76">
        <f t="shared" si="1"/>
        <v>1.1392156862745098</v>
      </c>
      <c r="J7" s="76">
        <f t="shared" ref="J7:J40" si="6">IF(F7&gt;0,H7/F7,0)</f>
        <v>0</v>
      </c>
      <c r="K7" s="67">
        <v>219.3</v>
      </c>
      <c r="L7" s="76">
        <f t="shared" si="4"/>
        <v>1.3246694026447787</v>
      </c>
      <c r="M7" s="67">
        <v>33.9</v>
      </c>
      <c r="N7" s="67">
        <v>25</v>
      </c>
      <c r="O7" s="76">
        <f t="shared" si="2"/>
        <v>1.3559999999999999</v>
      </c>
      <c r="P7" s="70"/>
      <c r="Q7" s="70"/>
      <c r="R7" s="70"/>
    </row>
    <row r="8" spans="1:18" ht="18" customHeight="1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6"/>
        <v>0</v>
      </c>
      <c r="K8" s="70"/>
      <c r="L8" s="76">
        <f>IF(K8&gt;0,H8/K8,0)</f>
        <v>0</v>
      </c>
      <c r="M8" s="70"/>
      <c r="N8" s="70"/>
      <c r="O8" s="76">
        <f>IF(N8&gt;0,M8/N8,0)</f>
        <v>0</v>
      </c>
      <c r="P8" s="70"/>
      <c r="Q8" s="70"/>
      <c r="R8" s="70"/>
    </row>
    <row r="9" spans="1:18" ht="18">
      <c r="A9" s="10" t="s">
        <v>42</v>
      </c>
      <c r="B9" s="13">
        <v>1010203001</v>
      </c>
      <c r="C9" s="70"/>
      <c r="D9" s="70"/>
      <c r="E9" s="70">
        <f>C9+D9</f>
        <v>0</v>
      </c>
      <c r="F9" s="70"/>
      <c r="G9" s="70">
        <v>1.7</v>
      </c>
      <c r="H9" s="67">
        <f>G9+M9</f>
        <v>1.7</v>
      </c>
      <c r="I9" s="76">
        <f t="shared" si="1"/>
        <v>0</v>
      </c>
      <c r="J9" s="76">
        <f t="shared" si="6"/>
        <v>0</v>
      </c>
      <c r="K9" s="70"/>
      <c r="L9" s="76">
        <f t="shared" si="4"/>
        <v>0</v>
      </c>
      <c r="M9" s="70"/>
      <c r="N9" s="70"/>
      <c r="O9" s="76">
        <f t="shared" si="2"/>
        <v>0</v>
      </c>
      <c r="P9" s="70"/>
      <c r="Q9" s="70"/>
      <c r="R9" s="70"/>
    </row>
    <row r="10" spans="1:18" ht="30.75" customHeight="1">
      <c r="A10" s="40" t="s">
        <v>121</v>
      </c>
      <c r="B10" s="164">
        <v>1010213001</v>
      </c>
      <c r="C10" s="70"/>
      <c r="D10" s="70"/>
      <c r="E10" s="70">
        <f>C10+D10</f>
        <v>0</v>
      </c>
      <c r="F10" s="70"/>
      <c r="G10" s="70"/>
      <c r="H10" s="67">
        <f>G10+M10</f>
        <v>0</v>
      </c>
      <c r="I10" s="76">
        <f t="shared" ref="I10" si="7">IF(E10&gt;0,H10/E10,0)</f>
        <v>0</v>
      </c>
      <c r="J10" s="69"/>
      <c r="K10" s="70"/>
      <c r="L10" s="76">
        <f t="shared" si="4"/>
        <v>0</v>
      </c>
      <c r="M10" s="70"/>
      <c r="N10" s="70"/>
      <c r="O10" s="76">
        <f t="shared" si="2"/>
        <v>0</v>
      </c>
      <c r="P10" s="70"/>
      <c r="Q10" s="70"/>
      <c r="R10" s="70"/>
    </row>
    <row r="11" spans="1:18" ht="30.75" customHeight="1">
      <c r="A11" s="11" t="s">
        <v>48</v>
      </c>
      <c r="B11" s="19">
        <v>1030200001</v>
      </c>
      <c r="C11" s="71">
        <f t="shared" ref="C11" si="8">SUM(C12:C15)</f>
        <v>908.2</v>
      </c>
      <c r="D11" s="71">
        <f t="shared" ref="D11:H11" si="9">SUM(D12:D15)</f>
        <v>0</v>
      </c>
      <c r="E11" s="71">
        <f t="shared" si="9"/>
        <v>908.2</v>
      </c>
      <c r="F11" s="71">
        <f t="shared" si="9"/>
        <v>0</v>
      </c>
      <c r="G11" s="71">
        <f>SUM(G12:G15)</f>
        <v>892.1</v>
      </c>
      <c r="H11" s="71">
        <f t="shared" si="9"/>
        <v>974.20000000000016</v>
      </c>
      <c r="I11" s="65">
        <f t="shared" si="1"/>
        <v>1.0726712177934377</v>
      </c>
      <c r="J11" s="65">
        <f>IF(F11&gt;0,H11/F11,0)</f>
        <v>0</v>
      </c>
      <c r="K11" s="71">
        <f>SUM(K12:K15)</f>
        <v>922.00000000000011</v>
      </c>
      <c r="L11" s="65">
        <f t="shared" si="4"/>
        <v>1.0566160520607375</v>
      </c>
      <c r="M11" s="71">
        <f>SUM(M12:M15)</f>
        <v>82.100000000000009</v>
      </c>
      <c r="N11" s="71">
        <f>SUM(N12:N15)</f>
        <v>89.300000000000011</v>
      </c>
      <c r="O11" s="65">
        <f t="shared" si="2"/>
        <v>0.91937290033594621</v>
      </c>
      <c r="P11" s="71">
        <f>SUM(P12:P15)</f>
        <v>0</v>
      </c>
      <c r="Q11" s="71">
        <f>SUM(Q12:Q15)</f>
        <v>0</v>
      </c>
      <c r="R11" s="71">
        <f>SUM(R12:R15)</f>
        <v>0</v>
      </c>
    </row>
    <row r="12" spans="1:18" ht="18.75" customHeight="1">
      <c r="A12" s="12" t="s">
        <v>49</v>
      </c>
      <c r="B12" s="12">
        <v>1030223101</v>
      </c>
      <c r="C12" s="70">
        <v>473.7</v>
      </c>
      <c r="D12" s="70"/>
      <c r="E12" s="66">
        <f>C12+D12</f>
        <v>473.7</v>
      </c>
      <c r="F12" s="66"/>
      <c r="G12" s="70">
        <v>462.1</v>
      </c>
      <c r="H12" s="68">
        <f>G12+M12</f>
        <v>503.20000000000005</v>
      </c>
      <c r="I12" s="69">
        <f t="shared" si="1"/>
        <v>1.0622757019210471</v>
      </c>
      <c r="J12" s="69">
        <f>IF(F12&gt;0,H12/F12,0)</f>
        <v>0</v>
      </c>
      <c r="K12" s="70">
        <v>477.8</v>
      </c>
      <c r="L12" s="69">
        <f t="shared" si="4"/>
        <v>1.0531603181247384</v>
      </c>
      <c r="M12" s="70">
        <v>41.1</v>
      </c>
      <c r="N12" s="70">
        <v>48.2</v>
      </c>
      <c r="O12" s="69">
        <f t="shared" si="2"/>
        <v>0.85269709543568462</v>
      </c>
      <c r="P12" s="70"/>
      <c r="Q12" s="70"/>
      <c r="R12" s="70"/>
    </row>
    <row r="13" spans="1:18" ht="18.75" customHeight="1">
      <c r="A13" s="12" t="s">
        <v>50</v>
      </c>
      <c r="B13" s="12">
        <v>1030224101</v>
      </c>
      <c r="C13" s="70">
        <v>2.2999999999999998</v>
      </c>
      <c r="D13" s="70"/>
      <c r="E13" s="66">
        <f>C13+D13</f>
        <v>2.2999999999999998</v>
      </c>
      <c r="F13" s="66"/>
      <c r="G13" s="70">
        <v>2.7</v>
      </c>
      <c r="H13" s="68">
        <f>G13+M13</f>
        <v>2.9000000000000004</v>
      </c>
      <c r="I13" s="69">
        <f t="shared" si="1"/>
        <v>1.2608695652173916</v>
      </c>
      <c r="J13" s="69">
        <f>IF(F13&gt;0,H13/F13,0)</f>
        <v>0</v>
      </c>
      <c r="K13" s="70">
        <v>2.2999999999999998</v>
      </c>
      <c r="L13" s="69">
        <f t="shared" si="4"/>
        <v>1.2608695652173916</v>
      </c>
      <c r="M13" s="70">
        <v>0.2</v>
      </c>
      <c r="N13" s="70">
        <v>0.2</v>
      </c>
      <c r="O13" s="69">
        <f t="shared" si="2"/>
        <v>1</v>
      </c>
      <c r="P13" s="70"/>
      <c r="Q13" s="70"/>
      <c r="R13" s="70"/>
    </row>
    <row r="14" spans="1:18" ht="18" customHeight="1">
      <c r="A14" s="12" t="s">
        <v>51</v>
      </c>
      <c r="B14" s="12">
        <v>1030225101</v>
      </c>
      <c r="C14" s="70">
        <v>491.1</v>
      </c>
      <c r="D14" s="70"/>
      <c r="E14" s="66">
        <f>C14+D14</f>
        <v>491.1</v>
      </c>
      <c r="F14" s="66"/>
      <c r="G14" s="70">
        <v>478.3</v>
      </c>
      <c r="H14" s="68">
        <f>G14+M14</f>
        <v>522.70000000000005</v>
      </c>
      <c r="I14" s="69">
        <f t="shared" si="1"/>
        <v>1.0643453471798006</v>
      </c>
      <c r="J14" s="69">
        <f>IF(F14&gt;0,H14/F14,0)</f>
        <v>0</v>
      </c>
      <c r="K14" s="70">
        <v>493.8</v>
      </c>
      <c r="L14" s="69">
        <f t="shared" si="4"/>
        <v>1.0585257189145403</v>
      </c>
      <c r="M14" s="70">
        <v>44.4</v>
      </c>
      <c r="N14" s="70">
        <v>45.2</v>
      </c>
      <c r="O14" s="69">
        <f t="shared" si="2"/>
        <v>0.98230088495575207</v>
      </c>
      <c r="P14" s="70"/>
      <c r="Q14" s="70"/>
      <c r="R14" s="70"/>
    </row>
    <row r="15" spans="1:18" ht="18" customHeight="1">
      <c r="A15" s="12" t="s">
        <v>52</v>
      </c>
      <c r="B15" s="12">
        <v>1030226101</v>
      </c>
      <c r="C15" s="70">
        <v>-58.9</v>
      </c>
      <c r="D15" s="70"/>
      <c r="E15" s="66">
        <f>C15+D15</f>
        <v>-58.9</v>
      </c>
      <c r="F15" s="66"/>
      <c r="G15" s="70">
        <v>-51</v>
      </c>
      <c r="H15" s="68">
        <f>G15+M15</f>
        <v>-54.6</v>
      </c>
      <c r="I15" s="69">
        <f>H15/E15</f>
        <v>0.92699490662139228</v>
      </c>
      <c r="J15" s="69">
        <f>IF(F15&gt;0,H15/F15,0)</f>
        <v>0</v>
      </c>
      <c r="K15" s="70">
        <v>-51.9</v>
      </c>
      <c r="L15" s="69">
        <f t="shared" si="4"/>
        <v>0</v>
      </c>
      <c r="M15" s="70">
        <v>-3.6</v>
      </c>
      <c r="N15" s="70">
        <v>-4.3</v>
      </c>
      <c r="O15" s="69">
        <f t="shared" si="2"/>
        <v>0</v>
      </c>
      <c r="P15" s="70"/>
      <c r="Q15" s="70"/>
      <c r="R15" s="70"/>
    </row>
    <row r="16" spans="1:18" ht="18">
      <c r="A16" s="9" t="s">
        <v>70</v>
      </c>
      <c r="B16" s="30">
        <v>1050000000</v>
      </c>
      <c r="C16" s="71">
        <f t="shared" ref="C16" si="10">C17</f>
        <v>0</v>
      </c>
      <c r="D16" s="72">
        <f t="shared" ref="D16:H16" si="11">D17</f>
        <v>0</v>
      </c>
      <c r="E16" s="72">
        <f t="shared" si="11"/>
        <v>0</v>
      </c>
      <c r="F16" s="72">
        <f t="shared" si="11"/>
        <v>0</v>
      </c>
      <c r="G16" s="71">
        <f>G17</f>
        <v>0</v>
      </c>
      <c r="H16" s="72">
        <f t="shared" si="11"/>
        <v>0</v>
      </c>
      <c r="I16" s="86">
        <f t="shared" si="1"/>
        <v>0</v>
      </c>
      <c r="J16" s="86">
        <f t="shared" si="6"/>
        <v>0</v>
      </c>
      <c r="K16" s="71">
        <f>K17</f>
        <v>0</v>
      </c>
      <c r="L16" s="86">
        <f t="shared" si="4"/>
        <v>0</v>
      </c>
      <c r="M16" s="71">
        <f>M17</f>
        <v>0</v>
      </c>
      <c r="N16" s="71">
        <f>N17</f>
        <v>0</v>
      </c>
      <c r="O16" s="86">
        <f t="shared" si="2"/>
        <v>0</v>
      </c>
      <c r="P16" s="71">
        <f>P17</f>
        <v>0</v>
      </c>
      <c r="Q16" s="71">
        <f>Q17</f>
        <v>0</v>
      </c>
      <c r="R16" s="71">
        <f>R17</f>
        <v>0</v>
      </c>
    </row>
    <row r="17" spans="1:20" ht="18">
      <c r="A17" s="13" t="s">
        <v>7</v>
      </c>
      <c r="B17" s="13">
        <v>1050300001</v>
      </c>
      <c r="C17" s="70"/>
      <c r="D17" s="67"/>
      <c r="E17" s="70">
        <f>C17+D17</f>
        <v>0</v>
      </c>
      <c r="F17" s="70"/>
      <c r="G17" s="70"/>
      <c r="H17" s="67">
        <f>G17+M17</f>
        <v>0</v>
      </c>
      <c r="I17" s="76">
        <f t="shared" si="1"/>
        <v>0</v>
      </c>
      <c r="J17" s="76">
        <f t="shared" si="6"/>
        <v>0</v>
      </c>
      <c r="K17" s="70"/>
      <c r="L17" s="76">
        <f t="shared" si="4"/>
        <v>0</v>
      </c>
      <c r="M17" s="70"/>
      <c r="N17" s="70"/>
      <c r="O17" s="76">
        <f t="shared" si="2"/>
        <v>0</v>
      </c>
      <c r="P17" s="70"/>
      <c r="Q17" s="70"/>
      <c r="R17" s="70"/>
    </row>
    <row r="18" spans="1:20" ht="18">
      <c r="A18" s="9" t="s">
        <v>71</v>
      </c>
      <c r="B18" s="30">
        <v>1060000000</v>
      </c>
      <c r="C18" s="71">
        <f t="shared" ref="C18" si="12">C19+C22</f>
        <v>64</v>
      </c>
      <c r="D18" s="72">
        <f t="shared" ref="D18:H18" si="13">D19+D22</f>
        <v>-33</v>
      </c>
      <c r="E18" s="72">
        <f t="shared" si="13"/>
        <v>31</v>
      </c>
      <c r="F18" s="72">
        <f t="shared" si="13"/>
        <v>0</v>
      </c>
      <c r="G18" s="71">
        <f>G19+G22</f>
        <v>5.8</v>
      </c>
      <c r="H18" s="72">
        <f t="shared" si="13"/>
        <v>12.8</v>
      </c>
      <c r="I18" s="86">
        <f t="shared" si="1"/>
        <v>0.41290322580645161</v>
      </c>
      <c r="J18" s="86">
        <f t="shared" si="6"/>
        <v>0</v>
      </c>
      <c r="K18" s="71">
        <f>K19+K22</f>
        <v>80.399999999999991</v>
      </c>
      <c r="L18" s="86">
        <f t="shared" si="4"/>
        <v>0.15920398009950251</v>
      </c>
      <c r="M18" s="71">
        <f>M19+M22</f>
        <v>7</v>
      </c>
      <c r="N18" s="71">
        <f>N19+N22</f>
        <v>7.3</v>
      </c>
      <c r="O18" s="86">
        <f t="shared" si="2"/>
        <v>0.95890410958904115</v>
      </c>
      <c r="P18" s="71">
        <f>P19+P22</f>
        <v>37.1</v>
      </c>
      <c r="Q18" s="71">
        <f>Q19+Q22</f>
        <v>31.799999999999997</v>
      </c>
      <c r="R18" s="71">
        <f>R19+R22</f>
        <v>37</v>
      </c>
    </row>
    <row r="19" spans="1:20" ht="18">
      <c r="A19" s="13" t="s">
        <v>13</v>
      </c>
      <c r="B19" s="13">
        <v>1060600000</v>
      </c>
      <c r="C19" s="70">
        <f t="shared" ref="C19" si="14">C20+C21</f>
        <v>52</v>
      </c>
      <c r="D19" s="67">
        <f t="shared" ref="D19:H19" si="15">D20+D21</f>
        <v>-31</v>
      </c>
      <c r="E19" s="67">
        <f t="shared" si="15"/>
        <v>21</v>
      </c>
      <c r="F19" s="67">
        <f t="shared" si="15"/>
        <v>0</v>
      </c>
      <c r="G19" s="70">
        <f>G20+G21</f>
        <v>-1.5</v>
      </c>
      <c r="H19" s="67">
        <f t="shared" si="15"/>
        <v>3.3000000000000007</v>
      </c>
      <c r="I19" s="76">
        <f t="shared" si="1"/>
        <v>0.15714285714285717</v>
      </c>
      <c r="J19" s="76">
        <f t="shared" si="6"/>
        <v>0</v>
      </c>
      <c r="K19" s="70">
        <f>K20+K21</f>
        <v>65.8</v>
      </c>
      <c r="L19" s="76">
        <f t="shared" si="4"/>
        <v>5.0151975683890591E-2</v>
      </c>
      <c r="M19" s="70">
        <f>M20+M21</f>
        <v>4.8</v>
      </c>
      <c r="N19" s="70">
        <f>N20+N21</f>
        <v>5.3</v>
      </c>
      <c r="O19" s="76">
        <f t="shared" si="2"/>
        <v>0.90566037735849059</v>
      </c>
      <c r="P19" s="70">
        <f>P20+P21</f>
        <v>20.100000000000001</v>
      </c>
      <c r="Q19" s="70">
        <f>Q20+Q21</f>
        <v>16.299999999999997</v>
      </c>
      <c r="R19" s="70">
        <f>R20+R21</f>
        <v>19.899999999999999</v>
      </c>
    </row>
    <row r="20" spans="1:20" ht="18">
      <c r="A20" s="13" t="s">
        <v>100</v>
      </c>
      <c r="B20" s="13">
        <v>1060603310</v>
      </c>
      <c r="C20" s="70">
        <v>26</v>
      </c>
      <c r="D20" s="67">
        <v>-26</v>
      </c>
      <c r="E20" s="70">
        <f>C20+D20</f>
        <v>0</v>
      </c>
      <c r="F20" s="70"/>
      <c r="G20" s="70">
        <v>-18.5</v>
      </c>
      <c r="H20" s="67">
        <f>G20+M20</f>
        <v>-18.5</v>
      </c>
      <c r="I20" s="76">
        <f t="shared" si="1"/>
        <v>0</v>
      </c>
      <c r="J20" s="76">
        <f t="shared" si="6"/>
        <v>0</v>
      </c>
      <c r="K20" s="70">
        <v>42.6</v>
      </c>
      <c r="L20" s="76">
        <f t="shared" si="4"/>
        <v>-0.43427230046948356</v>
      </c>
      <c r="M20" s="70"/>
      <c r="N20" s="70"/>
      <c r="O20" s="76">
        <f t="shared" si="2"/>
        <v>0</v>
      </c>
      <c r="P20" s="70">
        <v>5.9</v>
      </c>
      <c r="Q20" s="70">
        <v>5.6</v>
      </c>
      <c r="R20" s="70">
        <v>5.6</v>
      </c>
    </row>
    <row r="21" spans="1:20" ht="18">
      <c r="A21" s="13" t="s">
        <v>101</v>
      </c>
      <c r="B21" s="13">
        <v>1060604310</v>
      </c>
      <c r="C21" s="70">
        <v>26</v>
      </c>
      <c r="D21" s="67">
        <v>-5</v>
      </c>
      <c r="E21" s="70">
        <f>C21+D21</f>
        <v>21</v>
      </c>
      <c r="F21" s="70"/>
      <c r="G21" s="70">
        <v>17</v>
      </c>
      <c r="H21" s="67">
        <f>G21+M21</f>
        <v>21.8</v>
      </c>
      <c r="I21" s="76">
        <f t="shared" si="1"/>
        <v>1.0380952380952382</v>
      </c>
      <c r="J21" s="76">
        <f t="shared" si="6"/>
        <v>0</v>
      </c>
      <c r="K21" s="70">
        <v>23.2</v>
      </c>
      <c r="L21" s="76">
        <f t="shared" si="4"/>
        <v>0.93965517241379315</v>
      </c>
      <c r="M21" s="70">
        <v>4.8</v>
      </c>
      <c r="N21" s="70">
        <v>5.3</v>
      </c>
      <c r="O21" s="76">
        <f t="shared" si="2"/>
        <v>0.90566037735849059</v>
      </c>
      <c r="P21" s="70">
        <v>14.2</v>
      </c>
      <c r="Q21" s="70">
        <v>10.7</v>
      </c>
      <c r="R21" s="70">
        <v>14.3</v>
      </c>
    </row>
    <row r="22" spans="1:20" ht="18">
      <c r="A22" s="13" t="s">
        <v>12</v>
      </c>
      <c r="B22" s="13">
        <v>1060103010</v>
      </c>
      <c r="C22" s="70">
        <v>12</v>
      </c>
      <c r="D22" s="67">
        <v>-2</v>
      </c>
      <c r="E22" s="70">
        <f>C22+D22</f>
        <v>10</v>
      </c>
      <c r="F22" s="70"/>
      <c r="G22" s="70">
        <v>7.3</v>
      </c>
      <c r="H22" s="67">
        <f>G22+M22</f>
        <v>9.5</v>
      </c>
      <c r="I22" s="76">
        <f t="shared" si="1"/>
        <v>0.95</v>
      </c>
      <c r="J22" s="76">
        <f t="shared" si="6"/>
        <v>0</v>
      </c>
      <c r="K22" s="70">
        <v>14.6</v>
      </c>
      <c r="L22" s="76">
        <f t="shared" si="4"/>
        <v>0.65068493150684936</v>
      </c>
      <c r="M22" s="70">
        <v>2.2000000000000002</v>
      </c>
      <c r="N22" s="70">
        <v>2</v>
      </c>
      <c r="O22" s="76">
        <f t="shared" si="2"/>
        <v>1.1000000000000001</v>
      </c>
      <c r="P22" s="70">
        <v>17</v>
      </c>
      <c r="Q22" s="70">
        <v>15.5</v>
      </c>
      <c r="R22" s="70">
        <v>17.100000000000001</v>
      </c>
      <c r="S22" s="127"/>
      <c r="T22" s="145"/>
    </row>
    <row r="23" spans="1:20" ht="18">
      <c r="A23" s="9" t="s">
        <v>72</v>
      </c>
      <c r="B23" s="30">
        <v>1080402001</v>
      </c>
      <c r="C23" s="71">
        <v>2</v>
      </c>
      <c r="D23" s="72"/>
      <c r="E23" s="71">
        <f>C23+D23</f>
        <v>2</v>
      </c>
      <c r="F23" s="71"/>
      <c r="G23" s="71">
        <v>0.6</v>
      </c>
      <c r="H23" s="72">
        <f>G23+M23</f>
        <v>0.6</v>
      </c>
      <c r="I23" s="86">
        <f t="shared" si="1"/>
        <v>0.3</v>
      </c>
      <c r="J23" s="86">
        <f t="shared" si="6"/>
        <v>0</v>
      </c>
      <c r="K23" s="71">
        <v>1.1000000000000001</v>
      </c>
      <c r="L23" s="86">
        <f t="shared" si="4"/>
        <v>0.54545454545454541</v>
      </c>
      <c r="M23" s="71"/>
      <c r="N23" s="71">
        <v>0.1</v>
      </c>
      <c r="O23" s="86">
        <f t="shared" si="2"/>
        <v>0</v>
      </c>
      <c r="P23" s="71"/>
      <c r="Q23" s="71"/>
      <c r="R23" s="71"/>
    </row>
    <row r="24" spans="1:20" ht="18" hidden="1">
      <c r="A24" s="9" t="s">
        <v>73</v>
      </c>
      <c r="B24" s="30">
        <v>1090405010</v>
      </c>
      <c r="C24" s="71"/>
      <c r="D24" s="71"/>
      <c r="E24" s="71">
        <f>C24+D24</f>
        <v>0</v>
      </c>
      <c r="F24" s="71"/>
      <c r="G24" s="71"/>
      <c r="H24" s="72">
        <f>G24+M24</f>
        <v>0</v>
      </c>
      <c r="I24" s="86">
        <f t="shared" si="1"/>
        <v>0</v>
      </c>
      <c r="J24" s="86">
        <f t="shared" si="6"/>
        <v>0</v>
      </c>
      <c r="K24" s="71"/>
      <c r="L24" s="86">
        <f t="shared" si="4"/>
        <v>0</v>
      </c>
      <c r="M24" s="71"/>
      <c r="N24" s="71"/>
      <c r="O24" s="86">
        <f t="shared" si="2"/>
        <v>0</v>
      </c>
      <c r="P24" s="71"/>
      <c r="Q24" s="71"/>
      <c r="R24" s="71"/>
    </row>
    <row r="25" spans="1:20" ht="18">
      <c r="A25" s="32" t="s">
        <v>22</v>
      </c>
      <c r="B25" s="32"/>
      <c r="C25" s="75">
        <f t="shared" ref="C25:H25" si="16">C26+C30+C34+C33+C32+C31</f>
        <v>288</v>
      </c>
      <c r="D25" s="75">
        <f t="shared" si="16"/>
        <v>82.706999999999994</v>
      </c>
      <c r="E25" s="75">
        <f t="shared" si="16"/>
        <v>370.70700000000005</v>
      </c>
      <c r="F25" s="75">
        <f t="shared" si="16"/>
        <v>0</v>
      </c>
      <c r="G25" s="75">
        <f>G26+G30+G34+G33+G32+G31</f>
        <v>262.3</v>
      </c>
      <c r="H25" s="75">
        <f t="shared" si="16"/>
        <v>318.09999999999997</v>
      </c>
      <c r="I25" s="89">
        <f t="shared" si="1"/>
        <v>0.85809008192453862</v>
      </c>
      <c r="J25" s="89">
        <f t="shared" si="6"/>
        <v>0</v>
      </c>
      <c r="K25" s="75">
        <f>K26+K30+K34+K33+K32+K31</f>
        <v>179.9</v>
      </c>
      <c r="L25" s="89">
        <f t="shared" si="4"/>
        <v>1.7682045580878263</v>
      </c>
      <c r="M25" s="75">
        <f>M26+M30+M34+M33+M32+M31</f>
        <v>55.800000000000004</v>
      </c>
      <c r="N25" s="75">
        <f>N26+N30+N34+N33+N32+N31</f>
        <v>11.7</v>
      </c>
      <c r="O25" s="89">
        <f t="shared" si="2"/>
        <v>4.7692307692307701</v>
      </c>
      <c r="P25" s="75">
        <f>P26+P30+P34+P33+P32</f>
        <v>0</v>
      </c>
      <c r="Q25" s="75">
        <f>Q26+Q30+Q34+Q33+Q32</f>
        <v>0</v>
      </c>
      <c r="R25" s="75">
        <f>R26+R30+R34+R33+R32</f>
        <v>0</v>
      </c>
    </row>
    <row r="26" spans="1:20" ht="17.25" customHeight="1">
      <c r="A26" s="9" t="s">
        <v>74</v>
      </c>
      <c r="B26" s="30">
        <v>1110000000</v>
      </c>
      <c r="C26" s="72">
        <f>C27+C29+C28</f>
        <v>70</v>
      </c>
      <c r="D26" s="72">
        <f>D27+D29+D28</f>
        <v>41.106999999999999</v>
      </c>
      <c r="E26" s="126">
        <f t="shared" ref="E26:H26" si="17">E27+E29+E28</f>
        <v>111.10700000000001</v>
      </c>
      <c r="F26" s="72">
        <f t="shared" si="17"/>
        <v>0</v>
      </c>
      <c r="G26" s="72">
        <f t="shared" si="17"/>
        <v>82.2</v>
      </c>
      <c r="H26" s="72">
        <f t="shared" si="17"/>
        <v>96.100000000000009</v>
      </c>
      <c r="I26" s="86">
        <f t="shared" si="1"/>
        <v>0.86493200248409186</v>
      </c>
      <c r="J26" s="86">
        <f t="shared" si="6"/>
        <v>0</v>
      </c>
      <c r="K26" s="71">
        <f>K27+K29</f>
        <v>83.8</v>
      </c>
      <c r="L26" s="86">
        <f t="shared" si="4"/>
        <v>1.1467780429594274</v>
      </c>
      <c r="M26" s="72">
        <f t="shared" ref="M26:N26" si="18">M27+M29+M28</f>
        <v>13.9</v>
      </c>
      <c r="N26" s="72">
        <f t="shared" si="18"/>
        <v>11.6</v>
      </c>
      <c r="O26" s="86">
        <f t="shared" si="2"/>
        <v>1.1982758620689655</v>
      </c>
      <c r="P26" s="71">
        <f>P27+P29</f>
        <v>0</v>
      </c>
      <c r="Q26" s="71">
        <f>Q27+Q29</f>
        <v>0</v>
      </c>
      <c r="R26" s="71">
        <f>R27+R29</f>
        <v>0</v>
      </c>
    </row>
    <row r="27" spans="1:20" ht="18.75" hidden="1" customHeight="1">
      <c r="A27" s="13" t="s">
        <v>18</v>
      </c>
      <c r="B27" s="13">
        <v>1110903510</v>
      </c>
      <c r="C27" s="70"/>
      <c r="D27" s="67"/>
      <c r="E27" s="70">
        <f t="shared" ref="E27:E33" si="19">C27+D27</f>
        <v>0</v>
      </c>
      <c r="F27" s="70"/>
      <c r="G27" s="70"/>
      <c r="H27" s="67">
        <f t="shared" ref="H27:H33" si="20">G27+M27</f>
        <v>0</v>
      </c>
      <c r="I27" s="76">
        <f t="shared" si="1"/>
        <v>0</v>
      </c>
      <c r="J27" s="76">
        <f t="shared" si="6"/>
        <v>0</v>
      </c>
      <c r="K27" s="70"/>
      <c r="L27" s="76">
        <f t="shared" si="4"/>
        <v>0</v>
      </c>
      <c r="M27" s="70"/>
      <c r="N27" s="70"/>
      <c r="O27" s="76">
        <f t="shared" si="2"/>
        <v>0</v>
      </c>
      <c r="P27" s="70"/>
      <c r="Q27" s="70"/>
      <c r="R27" s="70"/>
    </row>
    <row r="28" spans="1:20" ht="18.75" customHeight="1">
      <c r="A28" s="13" t="s">
        <v>106</v>
      </c>
      <c r="B28" s="220">
        <v>1110502510</v>
      </c>
      <c r="C28" s="70"/>
      <c r="D28" s="67">
        <v>8.6999999999999993</v>
      </c>
      <c r="E28" s="70">
        <f t="shared" si="19"/>
        <v>8.6999999999999993</v>
      </c>
      <c r="F28" s="70"/>
      <c r="G28" s="70">
        <v>8.6999999999999993</v>
      </c>
      <c r="H28" s="67">
        <f>G28+M28</f>
        <v>8.6999999999999993</v>
      </c>
      <c r="I28" s="76">
        <f t="shared" si="1"/>
        <v>1</v>
      </c>
      <c r="J28" s="76"/>
      <c r="K28" s="67">
        <f>J28+P28</f>
        <v>0</v>
      </c>
      <c r="L28" s="76">
        <f t="shared" si="4"/>
        <v>0</v>
      </c>
      <c r="M28" s="70"/>
      <c r="N28" s="70"/>
      <c r="O28" s="76">
        <f t="shared" si="2"/>
        <v>0</v>
      </c>
      <c r="P28" s="70"/>
      <c r="Q28" s="70"/>
      <c r="R28" s="70"/>
    </row>
    <row r="29" spans="1:20" ht="18">
      <c r="A29" s="33" t="s">
        <v>23</v>
      </c>
      <c r="B29" s="13">
        <v>1110904510</v>
      </c>
      <c r="C29" s="70">
        <v>70</v>
      </c>
      <c r="D29" s="82">
        <f>32.707+41.3-41.6</f>
        <v>32.407000000000004</v>
      </c>
      <c r="E29" s="70">
        <f t="shared" si="19"/>
        <v>102.40700000000001</v>
      </c>
      <c r="F29" s="70"/>
      <c r="G29" s="70">
        <v>73.5</v>
      </c>
      <c r="H29" s="67">
        <f t="shared" si="20"/>
        <v>87.4</v>
      </c>
      <c r="I29" s="76">
        <f t="shared" si="1"/>
        <v>0.85345728319353165</v>
      </c>
      <c r="J29" s="76">
        <f t="shared" si="6"/>
        <v>0</v>
      </c>
      <c r="K29" s="70">
        <v>83.8</v>
      </c>
      <c r="L29" s="76">
        <f t="shared" si="4"/>
        <v>1.0429594272076372</v>
      </c>
      <c r="M29" s="70">
        <v>13.9</v>
      </c>
      <c r="N29" s="70">
        <v>11.6</v>
      </c>
      <c r="O29" s="76">
        <f t="shared" si="2"/>
        <v>1.1982758620689655</v>
      </c>
      <c r="P29" s="70"/>
      <c r="Q29" s="70"/>
      <c r="R29" s="70"/>
    </row>
    <row r="30" spans="1:20" ht="18">
      <c r="A30" s="9" t="s">
        <v>38</v>
      </c>
      <c r="B30" s="30">
        <v>1130299510</v>
      </c>
      <c r="C30" s="71"/>
      <c r="D30" s="71"/>
      <c r="E30" s="126">
        <f t="shared" si="19"/>
        <v>0</v>
      </c>
      <c r="F30" s="71"/>
      <c r="G30" s="71">
        <v>0.5</v>
      </c>
      <c r="H30" s="72">
        <f t="shared" si="20"/>
        <v>0.5</v>
      </c>
      <c r="I30" s="86">
        <f t="shared" si="1"/>
        <v>0</v>
      </c>
      <c r="J30" s="86">
        <f t="shared" si="6"/>
        <v>0</v>
      </c>
      <c r="K30" s="71">
        <v>15.9</v>
      </c>
      <c r="L30" s="86">
        <f t="shared" si="4"/>
        <v>3.1446540880503145E-2</v>
      </c>
      <c r="M30" s="71"/>
      <c r="N30" s="71"/>
      <c r="O30" s="86">
        <f t="shared" si="2"/>
        <v>0</v>
      </c>
      <c r="P30" s="71"/>
      <c r="Q30" s="71"/>
      <c r="R30" s="71"/>
    </row>
    <row r="31" spans="1:20" ht="18">
      <c r="A31" s="9" t="s">
        <v>75</v>
      </c>
      <c r="B31" s="30">
        <v>1140205310</v>
      </c>
      <c r="C31" s="71"/>
      <c r="D31" s="71"/>
      <c r="E31" s="71">
        <f t="shared" si="19"/>
        <v>0</v>
      </c>
      <c r="F31" s="71"/>
      <c r="G31" s="71"/>
      <c r="H31" s="72">
        <f t="shared" si="20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4"/>
        <v>0</v>
      </c>
      <c r="M31" s="71"/>
      <c r="N31" s="71"/>
      <c r="O31" s="86">
        <f t="shared" si="2"/>
        <v>0</v>
      </c>
      <c r="P31" s="71"/>
      <c r="Q31" s="71"/>
      <c r="R31" s="71"/>
    </row>
    <row r="32" spans="1:20" ht="18">
      <c r="A32" s="9" t="s">
        <v>76</v>
      </c>
      <c r="B32" s="30">
        <v>1140601410</v>
      </c>
      <c r="C32" s="71"/>
      <c r="D32" s="71"/>
      <c r="E32" s="71">
        <f t="shared" si="19"/>
        <v>0</v>
      </c>
      <c r="F32" s="71"/>
      <c r="G32" s="71"/>
      <c r="H32" s="72">
        <f t="shared" si="20"/>
        <v>0</v>
      </c>
      <c r="I32" s="86">
        <f>IF(E32&gt;0,H32/E32,0)</f>
        <v>0</v>
      </c>
      <c r="J32" s="86">
        <f>IF(F32&gt;0,H32/F32,0)</f>
        <v>0</v>
      </c>
      <c r="K32" s="71"/>
      <c r="L32" s="86">
        <f t="shared" si="4"/>
        <v>0</v>
      </c>
      <c r="M32" s="71"/>
      <c r="N32" s="71"/>
      <c r="O32" s="86">
        <f t="shared" si="2"/>
        <v>0</v>
      </c>
      <c r="P32" s="71"/>
      <c r="Q32" s="71"/>
      <c r="R32" s="71"/>
    </row>
    <row r="33" spans="1:19" ht="18">
      <c r="A33" s="9" t="s">
        <v>79</v>
      </c>
      <c r="B33" s="30">
        <v>1169005010</v>
      </c>
      <c r="C33" s="71"/>
      <c r="D33" s="71">
        <v>41.6</v>
      </c>
      <c r="E33" s="71">
        <f t="shared" si="19"/>
        <v>41.6</v>
      </c>
      <c r="F33" s="71"/>
      <c r="G33" s="71"/>
      <c r="H33" s="72">
        <f t="shared" si="20"/>
        <v>41.7</v>
      </c>
      <c r="I33" s="86">
        <f>IF(E33&gt;0,H33/E33,0)</f>
        <v>1.0024038461538463</v>
      </c>
      <c r="J33" s="86">
        <f>IF(F33&gt;0,H33/F33,0)</f>
        <v>0</v>
      </c>
      <c r="K33" s="71"/>
      <c r="L33" s="86">
        <f t="shared" si="4"/>
        <v>0</v>
      </c>
      <c r="M33" s="71">
        <v>41.7</v>
      </c>
      <c r="N33" s="71"/>
      <c r="O33" s="86">
        <f t="shared" si="2"/>
        <v>0</v>
      </c>
      <c r="P33" s="71"/>
      <c r="Q33" s="71"/>
      <c r="R33" s="71"/>
    </row>
    <row r="34" spans="1:19" ht="18">
      <c r="A34" s="9" t="s">
        <v>69</v>
      </c>
      <c r="B34" s="30">
        <v>1170000000</v>
      </c>
      <c r="C34" s="71">
        <f>SUM(C35:C37)</f>
        <v>218</v>
      </c>
      <c r="D34" s="71">
        <f t="shared" ref="D34:H34" si="21">SUM(D35:D37)</f>
        <v>0</v>
      </c>
      <c r="E34" s="71">
        <f t="shared" si="21"/>
        <v>218</v>
      </c>
      <c r="F34" s="71">
        <f t="shared" si="21"/>
        <v>0</v>
      </c>
      <c r="G34" s="71">
        <f t="shared" si="21"/>
        <v>179.6</v>
      </c>
      <c r="H34" s="71">
        <f t="shared" si="21"/>
        <v>179.79999999999998</v>
      </c>
      <c r="I34" s="86">
        <f>IF(E34&gt;0,H34/E34,0)</f>
        <v>0.82477064220183482</v>
      </c>
      <c r="J34" s="86">
        <f>IF(F34&gt;0,H34/F34,0)</f>
        <v>0</v>
      </c>
      <c r="K34" s="71">
        <f t="shared" ref="K34" si="22">SUM(K35:K37)</f>
        <v>80.2</v>
      </c>
      <c r="L34" s="86">
        <f t="shared" si="4"/>
        <v>2.2418952618453862</v>
      </c>
      <c r="M34" s="71">
        <f t="shared" ref="M34:N34" si="23">SUM(M35:M37)</f>
        <v>0.2</v>
      </c>
      <c r="N34" s="71">
        <f t="shared" si="23"/>
        <v>0.1</v>
      </c>
      <c r="O34" s="86">
        <f t="shared" si="2"/>
        <v>2</v>
      </c>
      <c r="P34" s="71">
        <f t="shared" ref="P34:R34" si="24">SUM(P35:P36)</f>
        <v>0</v>
      </c>
      <c r="Q34" s="71">
        <f t="shared" si="24"/>
        <v>0</v>
      </c>
      <c r="R34" s="71">
        <f t="shared" si="24"/>
        <v>0</v>
      </c>
    </row>
    <row r="35" spans="1:19" ht="18">
      <c r="A35" s="13" t="s">
        <v>8</v>
      </c>
      <c r="B35" s="13">
        <v>1170103003</v>
      </c>
      <c r="C35" s="70"/>
      <c r="D35" s="70"/>
      <c r="E35" s="70">
        <f>C35+D35</f>
        <v>0</v>
      </c>
      <c r="F35" s="70"/>
      <c r="G35" s="70"/>
      <c r="H35" s="67">
        <f>G35+M35</f>
        <v>0</v>
      </c>
      <c r="I35" s="76">
        <f t="shared" si="1"/>
        <v>0</v>
      </c>
      <c r="J35" s="76">
        <f t="shared" si="6"/>
        <v>0</v>
      </c>
      <c r="K35" s="70"/>
      <c r="L35" s="76">
        <f t="shared" si="4"/>
        <v>0</v>
      </c>
      <c r="M35" s="70"/>
      <c r="N35" s="70"/>
      <c r="O35" s="76">
        <f t="shared" ref="O35:O42" si="25">IF(N35&gt;0,M35/N35,0)</f>
        <v>0</v>
      </c>
      <c r="P35" s="76"/>
      <c r="Q35" s="76"/>
      <c r="R35" s="76"/>
    </row>
    <row r="36" spans="1:19" ht="18">
      <c r="A36" s="13" t="s">
        <v>33</v>
      </c>
      <c r="B36" s="13">
        <v>1170505010</v>
      </c>
      <c r="C36" s="70"/>
      <c r="D36" s="81"/>
      <c r="E36" s="70">
        <f>C36+D36</f>
        <v>0</v>
      </c>
      <c r="F36" s="70"/>
      <c r="G36" s="70"/>
      <c r="H36" s="67">
        <f>G36+M36</f>
        <v>0.2</v>
      </c>
      <c r="I36" s="76">
        <f>IF(E36&gt;0,H36/E36,0)</f>
        <v>0</v>
      </c>
      <c r="J36" s="76">
        <f>IF(F36&gt;0,H36/F36,0)</f>
        <v>0</v>
      </c>
      <c r="K36" s="70">
        <v>0.2</v>
      </c>
      <c r="L36" s="76">
        <f>IF(K36&gt;0,H36/K36,0)</f>
        <v>1</v>
      </c>
      <c r="M36" s="70">
        <v>0.2</v>
      </c>
      <c r="N36" s="70">
        <v>0.1</v>
      </c>
      <c r="O36" s="76">
        <f t="shared" si="25"/>
        <v>2</v>
      </c>
      <c r="P36" s="70"/>
      <c r="Q36" s="70"/>
      <c r="R36" s="70"/>
    </row>
    <row r="37" spans="1:19" ht="18.75">
      <c r="A37" s="163" t="s">
        <v>114</v>
      </c>
      <c r="B37" s="163">
        <v>1171503010</v>
      </c>
      <c r="C37" s="70">
        <v>218</v>
      </c>
      <c r="D37" s="81"/>
      <c r="E37" s="70">
        <f>C37+D37</f>
        <v>218</v>
      </c>
      <c r="F37" s="70"/>
      <c r="G37" s="70">
        <v>179.6</v>
      </c>
      <c r="H37" s="67">
        <f>G37+M37</f>
        <v>179.6</v>
      </c>
      <c r="I37" s="76">
        <f>IF(E37&gt;0,H37/E37,0)</f>
        <v>0.8238532110091743</v>
      </c>
      <c r="J37" s="76"/>
      <c r="K37" s="70">
        <v>80</v>
      </c>
      <c r="L37" s="76">
        <f>IF(K37&gt;0,H37/K37,0)</f>
        <v>2.2450000000000001</v>
      </c>
      <c r="M37" s="70"/>
      <c r="N37" s="70"/>
      <c r="O37" s="76">
        <f t="shared" si="25"/>
        <v>0</v>
      </c>
      <c r="P37" s="70"/>
      <c r="Q37" s="70"/>
      <c r="R37" s="70"/>
    </row>
    <row r="38" spans="1:19" ht="18">
      <c r="A38" s="9" t="s">
        <v>6</v>
      </c>
      <c r="B38" s="9">
        <v>1000000000</v>
      </c>
      <c r="C38" s="77">
        <f t="shared" ref="C38:H38" si="26">C5+C25</f>
        <v>1484.2</v>
      </c>
      <c r="D38" s="77">
        <f t="shared" si="26"/>
        <v>82.706999999999994</v>
      </c>
      <c r="E38" s="77">
        <f t="shared" si="26"/>
        <v>1566.9070000000002</v>
      </c>
      <c r="F38" s="78">
        <f t="shared" si="26"/>
        <v>0</v>
      </c>
      <c r="G38" s="78">
        <f>G5+G25</f>
        <v>1419.1000000000001</v>
      </c>
      <c r="H38" s="78">
        <f t="shared" si="26"/>
        <v>1597.9</v>
      </c>
      <c r="I38" s="90">
        <f t="shared" si="1"/>
        <v>1.0197797316624406</v>
      </c>
      <c r="J38" s="90">
        <f t="shared" si="6"/>
        <v>0</v>
      </c>
      <c r="K38" s="78">
        <f>K5+K25</f>
        <v>1402.7000000000003</v>
      </c>
      <c r="L38" s="90">
        <f t="shared" si="4"/>
        <v>1.1391601910600981</v>
      </c>
      <c r="M38" s="78">
        <f>M5+M25</f>
        <v>178.8</v>
      </c>
      <c r="N38" s="78">
        <f>N5+N25</f>
        <v>133.4</v>
      </c>
      <c r="O38" s="90">
        <f t="shared" si="25"/>
        <v>1.3403298350824588</v>
      </c>
      <c r="P38" s="78">
        <f>P5+P25</f>
        <v>37.1</v>
      </c>
      <c r="Q38" s="78">
        <f>Q5+Q25</f>
        <v>31.799999999999997</v>
      </c>
      <c r="R38" s="78">
        <f>R5+R25</f>
        <v>37</v>
      </c>
      <c r="S38" s="155"/>
    </row>
    <row r="39" spans="1:19" ht="18">
      <c r="A39" s="9" t="s">
        <v>92</v>
      </c>
      <c r="B39" s="9"/>
      <c r="C39" s="78">
        <f t="shared" ref="C39:H39" si="27">C38-C11</f>
        <v>576</v>
      </c>
      <c r="D39" s="87">
        <f t="shared" si="27"/>
        <v>82.706999999999994</v>
      </c>
      <c r="E39" s="78">
        <f t="shared" si="27"/>
        <v>658.70700000000011</v>
      </c>
      <c r="F39" s="78">
        <f t="shared" si="27"/>
        <v>0</v>
      </c>
      <c r="G39" s="78">
        <f>G38-G11</f>
        <v>527.00000000000011</v>
      </c>
      <c r="H39" s="78">
        <f t="shared" si="27"/>
        <v>623.69999999999993</v>
      </c>
      <c r="I39" s="90">
        <f>IF(E39&gt;0,H39/E39,0)</f>
        <v>0.94685497497369819</v>
      </c>
      <c r="J39" s="90">
        <f>IF(F39&gt;0,H39/F39,0)</f>
        <v>0</v>
      </c>
      <c r="K39" s="78">
        <f>K38-K11</f>
        <v>480.70000000000016</v>
      </c>
      <c r="L39" s="90">
        <f t="shared" si="4"/>
        <v>1.2974828375286036</v>
      </c>
      <c r="M39" s="78">
        <f>M38-M11</f>
        <v>96.7</v>
      </c>
      <c r="N39" s="78">
        <f>N38-N11</f>
        <v>44.099999999999994</v>
      </c>
      <c r="O39" s="90">
        <f t="shared" si="25"/>
        <v>2.1927437641723357</v>
      </c>
      <c r="P39" s="78"/>
      <c r="Q39" s="78"/>
      <c r="R39" s="78"/>
    </row>
    <row r="40" spans="1:19" ht="18">
      <c r="A40" s="13" t="s">
        <v>36</v>
      </c>
      <c r="B40" s="13">
        <v>2000000000</v>
      </c>
      <c r="C40" s="70">
        <v>4740.7</v>
      </c>
      <c r="D40" s="82">
        <f>1928.019+282.3+170+100</f>
        <v>2480.319</v>
      </c>
      <c r="E40" s="82">
        <f>C40+D40</f>
        <v>7221.0190000000002</v>
      </c>
      <c r="F40" s="70"/>
      <c r="G40" s="70">
        <v>5001.2</v>
      </c>
      <c r="H40" s="81">
        <f>G40+M40</f>
        <v>6924</v>
      </c>
      <c r="I40" s="76">
        <f t="shared" si="1"/>
        <v>0.95886743962313348</v>
      </c>
      <c r="J40" s="76">
        <f t="shared" si="6"/>
        <v>0</v>
      </c>
      <c r="K40" s="81">
        <v>4764.05</v>
      </c>
      <c r="L40" s="76">
        <f t="shared" si="4"/>
        <v>1.4533852499448998</v>
      </c>
      <c r="M40" s="70">
        <v>1922.8</v>
      </c>
      <c r="N40" s="70">
        <v>728.85</v>
      </c>
      <c r="O40" s="76">
        <f t="shared" si="25"/>
        <v>2.6381285586883445</v>
      </c>
      <c r="P40" s="70"/>
      <c r="Q40" s="70"/>
      <c r="R40" s="70"/>
      <c r="S40" s="134"/>
    </row>
    <row r="41" spans="1:19" ht="18">
      <c r="A41" s="13" t="s">
        <v>46</v>
      </c>
      <c r="B41" s="34" t="s">
        <v>37</v>
      </c>
      <c r="C41" s="70"/>
      <c r="D41" s="82"/>
      <c r="E41" s="70">
        <f>C41+D41</f>
        <v>0</v>
      </c>
      <c r="F41" s="70"/>
      <c r="G41" s="70"/>
      <c r="H41" s="67">
        <f>G41+M41</f>
        <v>0</v>
      </c>
      <c r="I41" s="76">
        <f>IF(E41&gt;0,H41/E41,0)</f>
        <v>0</v>
      </c>
      <c r="J41" s="76">
        <f>IF(F41&gt;0,H41/F41,0)</f>
        <v>0</v>
      </c>
      <c r="K41" s="70"/>
      <c r="L41" s="76">
        <f t="shared" si="4"/>
        <v>0</v>
      </c>
      <c r="M41" s="70"/>
      <c r="N41" s="70"/>
      <c r="O41" s="76">
        <f t="shared" si="25"/>
        <v>0</v>
      </c>
      <c r="P41" s="70"/>
      <c r="Q41" s="70"/>
      <c r="R41" s="70"/>
    </row>
    <row r="42" spans="1:19" ht="18">
      <c r="A42" s="9" t="s">
        <v>2</v>
      </c>
      <c r="B42" s="9">
        <v>0</v>
      </c>
      <c r="C42" s="77">
        <f t="shared" ref="C42:H42" si="28">C38+C40+C41</f>
        <v>6224.9</v>
      </c>
      <c r="D42" s="77">
        <f t="shared" si="28"/>
        <v>2563.0259999999998</v>
      </c>
      <c r="E42" s="77">
        <f t="shared" si="28"/>
        <v>8787.9259999999995</v>
      </c>
      <c r="F42" s="78">
        <f t="shared" si="28"/>
        <v>0</v>
      </c>
      <c r="G42" s="78">
        <f t="shared" si="28"/>
        <v>6420.3</v>
      </c>
      <c r="H42" s="78">
        <f t="shared" si="28"/>
        <v>8521.9</v>
      </c>
      <c r="I42" s="90">
        <f t="shared" si="1"/>
        <v>0.96972823849449807</v>
      </c>
      <c r="J42" s="90"/>
      <c r="K42" s="78">
        <f>K38+K40+K41</f>
        <v>6166.75</v>
      </c>
      <c r="L42" s="90">
        <f t="shared" si="4"/>
        <v>1.3819110552560101</v>
      </c>
      <c r="M42" s="78">
        <f>M38+M40+M41</f>
        <v>2101.6</v>
      </c>
      <c r="N42" s="78">
        <f>N38+N40+N41</f>
        <v>862.25</v>
      </c>
      <c r="O42" s="90">
        <f t="shared" si="25"/>
        <v>2.4373441577268773</v>
      </c>
      <c r="P42" s="78">
        <f>P38+P40+P41</f>
        <v>37.1</v>
      </c>
      <c r="Q42" s="78">
        <f>Q38+Q40+Q41</f>
        <v>31.799999999999997</v>
      </c>
      <c r="R42" s="78">
        <f>R38+R40+R41</f>
        <v>37</v>
      </c>
    </row>
    <row r="43" spans="1:19" ht="18" customHeight="1">
      <c r="G43" s="5"/>
      <c r="I43" s="141"/>
    </row>
    <row r="44" spans="1:19">
      <c r="G44" s="6"/>
    </row>
  </sheetData>
  <mergeCells count="15"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  <mergeCell ref="C1:M1"/>
    <mergeCell ref="B2:R2"/>
    <mergeCell ref="G3:G4"/>
    <mergeCell ref="K3:L3"/>
    <mergeCell ref="H3:J3"/>
  </mergeCells>
  <phoneticPr fontId="0" type="noConversion"/>
  <pageMargins left="0.75" right="0.75" top="1" bottom="1" header="0.5" footer="0.5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7"/>
  <sheetViews>
    <sheetView tabSelected="1" zoomScaleNormal="100" workbookViewId="0">
      <pane xSplit="2" ySplit="6" topLeftCell="G38" activePane="bottomRight" state="frozen"/>
      <selection pane="topRight" activeCell="C1" sqref="C1"/>
      <selection pane="bottomLeft" activeCell="A15" sqref="A15"/>
      <selection pane="bottomRight" activeCell="R57" sqref="R57"/>
    </sheetView>
  </sheetViews>
  <sheetFormatPr defaultRowHeight="12.75"/>
  <cols>
    <col min="1" max="1" width="40.5703125" customWidth="1"/>
    <col min="2" max="2" width="15.42578125" customWidth="1"/>
    <col min="3" max="3" width="16.85546875" customWidth="1"/>
    <col min="4" max="4" width="16.42578125" customWidth="1"/>
    <col min="5" max="5" width="16.5703125" customWidth="1"/>
    <col min="6" max="6" width="11.28515625" hidden="1" customWidth="1"/>
    <col min="7" max="7" width="15.5703125" customWidth="1"/>
    <col min="8" max="8" width="14.85546875" customWidth="1"/>
    <col min="9" max="9" width="12.28515625" customWidth="1"/>
    <col min="10" max="10" width="11.7109375" hidden="1" customWidth="1"/>
    <col min="11" max="11" width="14.5703125" customWidth="1"/>
    <col min="12" max="12" width="16" customWidth="1"/>
    <col min="13" max="13" width="13.7109375" customWidth="1"/>
    <col min="14" max="14" width="13.5703125" customWidth="1"/>
    <col min="15" max="15" width="15.28515625" customWidth="1"/>
    <col min="16" max="16" width="10.5703125" customWidth="1"/>
    <col min="17" max="17" width="13" customWidth="1"/>
    <col min="18" max="18" width="11.7109375" customWidth="1"/>
    <col min="19" max="19" width="14" customWidth="1"/>
  </cols>
  <sheetData>
    <row r="1" spans="1:19" ht="21" customHeight="1">
      <c r="A1" s="257" t="s">
        <v>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</row>
    <row r="2" spans="1:19" ht="16.5" customHeight="1">
      <c r="A2" s="258" t="s">
        <v>137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</row>
    <row r="3" spans="1:19" ht="15.75" customHeight="1">
      <c r="A3" s="260" t="s">
        <v>3</v>
      </c>
      <c r="B3" s="260" t="s">
        <v>4</v>
      </c>
      <c r="C3" s="259" t="s">
        <v>124</v>
      </c>
      <c r="D3" s="259" t="s">
        <v>24</v>
      </c>
      <c r="E3" s="259" t="s">
        <v>125</v>
      </c>
      <c r="F3" s="259" t="s">
        <v>99</v>
      </c>
      <c r="G3" s="259" t="s">
        <v>128</v>
      </c>
      <c r="H3" s="259" t="s">
        <v>123</v>
      </c>
      <c r="I3" s="259"/>
      <c r="J3" s="259"/>
      <c r="K3" s="259" t="s">
        <v>117</v>
      </c>
      <c r="L3" s="259"/>
      <c r="M3" s="259" t="s">
        <v>138</v>
      </c>
      <c r="N3" s="259" t="s">
        <v>139</v>
      </c>
      <c r="O3" s="259" t="s">
        <v>30</v>
      </c>
      <c r="P3" s="259" t="s">
        <v>9</v>
      </c>
      <c r="Q3" s="259"/>
      <c r="R3" s="259"/>
    </row>
    <row r="4" spans="1:19" ht="99" customHeight="1">
      <c r="A4" s="261"/>
      <c r="B4" s="261"/>
      <c r="C4" s="259"/>
      <c r="D4" s="259"/>
      <c r="E4" s="259"/>
      <c r="F4" s="259"/>
      <c r="G4" s="259"/>
      <c r="H4" s="197" t="s">
        <v>140</v>
      </c>
      <c r="I4" s="172" t="s">
        <v>10</v>
      </c>
      <c r="J4" s="172" t="s">
        <v>29</v>
      </c>
      <c r="K4" s="197" t="s">
        <v>140</v>
      </c>
      <c r="L4" s="172" t="s">
        <v>30</v>
      </c>
      <c r="M4" s="259"/>
      <c r="N4" s="259"/>
      <c r="O4" s="259"/>
      <c r="P4" s="123" t="s">
        <v>122</v>
      </c>
      <c r="Q4" s="123" t="s">
        <v>129</v>
      </c>
      <c r="R4" s="123" t="s">
        <v>132</v>
      </c>
    </row>
    <row r="5" spans="1:19" ht="18">
      <c r="A5" s="7" t="s">
        <v>21</v>
      </c>
      <c r="B5" s="17"/>
      <c r="C5" s="93">
        <f t="shared" ref="C5:H5" si="0">C6+C12+C17+C23+C27+C28</f>
        <v>93924</v>
      </c>
      <c r="D5" s="93">
        <f t="shared" si="0"/>
        <v>20363</v>
      </c>
      <c r="E5" s="122">
        <f t="shared" si="0"/>
        <v>114287.00000000001</v>
      </c>
      <c r="F5" s="93">
        <f t="shared" si="0"/>
        <v>23522.7</v>
      </c>
      <c r="G5" s="93">
        <f t="shared" si="0"/>
        <v>108377.2</v>
      </c>
      <c r="H5" s="119">
        <f t="shared" si="0"/>
        <v>114736.70000000001</v>
      </c>
      <c r="I5" s="94">
        <f>IF(E5&gt;0,H5/E5,0)</f>
        <v>1.0039348307331541</v>
      </c>
      <c r="J5" s="94">
        <f>IF(F5&gt;0,H5/F5,0)</f>
        <v>4.8777011142428384</v>
      </c>
      <c r="K5" s="93">
        <f>K6+K12+K17+K23+K27+K28</f>
        <v>94037</v>
      </c>
      <c r="L5" s="94">
        <f>IF(K5&gt;0,H5/K5,0)</f>
        <v>1.2201229303359318</v>
      </c>
      <c r="M5" s="119">
        <f>M6+M12+M17+M23+M27+M28</f>
        <v>6359.5000000000009</v>
      </c>
      <c r="N5" s="93">
        <f>N6+N12+N17+N23+N27+N28</f>
        <v>6799.2000000000007</v>
      </c>
      <c r="O5" s="94">
        <f>IF(N5&gt;0,M5/N5,0)</f>
        <v>0.93533062713260384</v>
      </c>
      <c r="P5" s="119">
        <f>P6+P12+P17+P23+P27+P28</f>
        <v>4150.2</v>
      </c>
      <c r="Q5" s="93">
        <f>Q6+Q12+Q17+Q23+Q27+Q28</f>
        <v>2990.0999999999995</v>
      </c>
      <c r="R5" s="93">
        <f>R6+R12+R17+R23+R27+R28</f>
        <v>2983.7</v>
      </c>
    </row>
    <row r="6" spans="1:19" ht="18">
      <c r="A6" s="9" t="s">
        <v>63</v>
      </c>
      <c r="B6" s="18">
        <v>1010200001</v>
      </c>
      <c r="C6" s="95">
        <f>C7+C8+C9+C10+C11</f>
        <v>29633</v>
      </c>
      <c r="D6" s="95">
        <f>D7+D8+D9+D10+D11</f>
        <v>3517.2000000000003</v>
      </c>
      <c r="E6" s="95">
        <f>E7+E8+E9+E10+E11</f>
        <v>33150.200000000004</v>
      </c>
      <c r="F6" s="95">
        <f t="shared" ref="F6" si="1">F7+F8+F9+F10</f>
        <v>9897.8000000000011</v>
      </c>
      <c r="G6" s="95">
        <f>G7+G8+G9+G10+G11</f>
        <v>29332.299999999996</v>
      </c>
      <c r="H6" s="95">
        <f>H7+H8+H9+H10+H11</f>
        <v>34238.699999999997</v>
      </c>
      <c r="I6" s="96">
        <f t="shared" ref="I6:I55" si="2">IF(E6&gt;0,H6/E6,0)</f>
        <v>1.0328353976748252</v>
      </c>
      <c r="J6" s="96">
        <f t="shared" ref="J6:J55" si="3">IF(F6&gt;0,H6/F6,0)</f>
        <v>3.4592232617349303</v>
      </c>
      <c r="K6" s="95">
        <f>K7+K8+K9+K10+K11</f>
        <v>28771.8</v>
      </c>
      <c r="L6" s="96">
        <f t="shared" ref="L6:L55" si="4">IF(K6&gt;0,H6/K6,0)</f>
        <v>1.190008967113632</v>
      </c>
      <c r="M6" s="95">
        <f>M7+M8+M9+M10+M11</f>
        <v>4906.3999999999996</v>
      </c>
      <c r="N6" s="95">
        <f>N7+N8+N9+N10+N11</f>
        <v>4312.0999999999995</v>
      </c>
      <c r="O6" s="96">
        <f t="shared" ref="O6:O55" si="5">IF(N6&gt;0,M6/N6,0)</f>
        <v>1.1378214790937131</v>
      </c>
      <c r="P6" s="95">
        <f>P7+P8+P9+P10+P11</f>
        <v>614.59999999999991</v>
      </c>
      <c r="Q6" s="95">
        <f t="shared" ref="Q6:R6" si="6">Q7+Q8+Q9+Q10+Q11</f>
        <v>571.20000000000005</v>
      </c>
      <c r="R6" s="95">
        <f t="shared" si="6"/>
        <v>581.30000000000007</v>
      </c>
      <c r="S6" s="149"/>
    </row>
    <row r="7" spans="1:19" ht="18" customHeight="1">
      <c r="A7" s="10" t="s">
        <v>40</v>
      </c>
      <c r="B7" s="164">
        <v>1010201001</v>
      </c>
      <c r="C7" s="97">
        <f>муниц!C6+'Лен '!C7+Высокор!C7+Гост!C7+Новотр!C7+Черн!C7</f>
        <v>29066</v>
      </c>
      <c r="D7" s="117">
        <f>муниц!D6+'Лен '!D7+Высокор!D7+Гост!D7+Новотр!D7+Черн!D7</f>
        <v>3432.2000000000003</v>
      </c>
      <c r="E7" s="101">
        <f>C7+D7</f>
        <v>32498.2</v>
      </c>
      <c r="F7" s="97">
        <f>муниц!F6+'Лен '!F7+Высокор!F7+Гост!F7+Новотр!F7+Черн!F7</f>
        <v>9824.7000000000007</v>
      </c>
      <c r="G7" s="97">
        <f>муниц!G6+'Лен '!G7+Высокор!G7+Гост!G7+Новотр!G7+Черн!G7</f>
        <v>28666.099999999995</v>
      </c>
      <c r="H7" s="99">
        <f>G7+M7</f>
        <v>33495.499999999993</v>
      </c>
      <c r="I7" s="100">
        <f t="shared" si="2"/>
        <v>1.0306878534811157</v>
      </c>
      <c r="J7" s="100">
        <f t="shared" si="3"/>
        <v>3.4093152971591998</v>
      </c>
      <c r="K7" s="97">
        <f>муниц!K6+'Лен '!K7+Высокор!K7+Гост!K7+Новотр!K7+Черн!K7</f>
        <v>28134.3</v>
      </c>
      <c r="L7" s="100">
        <f t="shared" si="4"/>
        <v>1.1905574334531157</v>
      </c>
      <c r="M7" s="97">
        <f>муниц!M6+'Лен '!M7+Высокор!M7+Гост!M7+Новотр!M7+Черн!M7</f>
        <v>4829.3999999999996</v>
      </c>
      <c r="N7" s="97">
        <f>муниц!N6+'Лен '!N7+Высокор!N7+Гост!N7+Новотр!N7+Черн!N7</f>
        <v>4305.8999999999996</v>
      </c>
      <c r="O7" s="100">
        <f t="shared" si="5"/>
        <v>1.1215773705845469</v>
      </c>
      <c r="P7" s="97">
        <f>муниц!P6+'Лен '!P7+Высокор!P7+Гост!P7+Новотр!P7+Черн!P7</f>
        <v>412.9</v>
      </c>
      <c r="Q7" s="97">
        <f>муниц!Q6+'Лен '!Q7+Высокор!Q7+Гост!Q7+Новотр!Q7+Черн!Q7</f>
        <v>322.89999999999998</v>
      </c>
      <c r="R7" s="97">
        <f>муниц!R6+'Лен '!R7+Высокор!R7+Гост!R7+Новотр!R7+Черн!R7</f>
        <v>364.00000000000006</v>
      </c>
      <c r="S7" s="26"/>
    </row>
    <row r="8" spans="1:19" ht="18.75" customHeight="1">
      <c r="A8" s="10" t="s">
        <v>41</v>
      </c>
      <c r="B8" s="164">
        <v>1010202001</v>
      </c>
      <c r="C8" s="97">
        <f>муниц!C7+'Лен '!C8+Высокор!C8+Гост!C8+Новотр!C8+Черн!C8</f>
        <v>171</v>
      </c>
      <c r="D8" s="97">
        <f>муниц!D7+'Лен '!D8+Высокор!D8+Гост!D8+Новотр!D8+Черн!D8</f>
        <v>34</v>
      </c>
      <c r="E8" s="101">
        <f>C8+D8</f>
        <v>205</v>
      </c>
      <c r="F8" s="97">
        <f>муниц!F7+'Лен '!F8+Высокор!F8+Гост!F8+Новотр!F8+Черн!F8</f>
        <v>26.1</v>
      </c>
      <c r="G8" s="97">
        <f>муниц!G7+'Лен '!G8+Высокор!G8+Гост!G8+Новотр!G8+Черн!G8</f>
        <v>222</v>
      </c>
      <c r="H8" s="99">
        <f>G8+M8</f>
        <v>222</v>
      </c>
      <c r="I8" s="100">
        <f t="shared" si="2"/>
        <v>1.0829268292682928</v>
      </c>
      <c r="J8" s="100">
        <f t="shared" si="3"/>
        <v>8.5057471264367805</v>
      </c>
      <c r="K8" s="97">
        <f>муниц!K7+'Лен '!K8+Высокор!K8+Гост!K8+Новотр!K8+Черн!K8</f>
        <v>222.89999999999998</v>
      </c>
      <c r="L8" s="100">
        <f t="shared" si="4"/>
        <v>0.99596231493943488</v>
      </c>
      <c r="M8" s="97">
        <f>муниц!M7+'Лен '!M8+Высокор!M8+Гост!M8+Новотр!M8+Черн!M8</f>
        <v>0</v>
      </c>
      <c r="N8" s="97">
        <f>муниц!N7+'Лен '!N8+Высокор!N8+Гост!N8+Новотр!N8+Черн!N8</f>
        <v>0</v>
      </c>
      <c r="O8" s="100">
        <f t="shared" si="5"/>
        <v>0</v>
      </c>
      <c r="P8" s="97">
        <f>муниц!P7+'Лен '!P8+Высокор!P8+Гост!P8+Новотр!P8+Черн!P8</f>
        <v>0</v>
      </c>
      <c r="Q8" s="97">
        <f>муниц!Q7+'Лен '!Q8+Высокор!Q8+Гост!Q8+Новотр!Q8+Черн!Q8</f>
        <v>0</v>
      </c>
      <c r="R8" s="97">
        <f>муниц!R7+'Лен '!R8+Высокор!R8+Гост!R8+Новотр!R8+Черн!R8</f>
        <v>0</v>
      </c>
      <c r="S8" s="26"/>
    </row>
    <row r="9" spans="1:19" ht="17.25" customHeight="1">
      <c r="A9" s="10" t="s">
        <v>42</v>
      </c>
      <c r="B9" s="164">
        <v>1010203001</v>
      </c>
      <c r="C9" s="97">
        <f>муниц!C8+'Лен '!C9+Высокор!C9+Гост!C9+Новотр!C9+Черн!C9</f>
        <v>396</v>
      </c>
      <c r="D9" s="97">
        <f>муниц!D8+'Лен '!D9+Высокор!D9+Гост!D9+Новотр!D9+Черн!D9</f>
        <v>-45.900000000000006</v>
      </c>
      <c r="E9" s="98">
        <f>C9+D9</f>
        <v>350.1</v>
      </c>
      <c r="F9" s="97">
        <f>муниц!F8+'Лен '!F9+Высокор!F9+Гост!F9+Новотр!F9+Черн!F9</f>
        <v>47</v>
      </c>
      <c r="G9" s="97">
        <f>муниц!G8+'Лен '!G9+Высокор!G9+Гост!G9+Новотр!G9+Черн!G9</f>
        <v>298.79999999999995</v>
      </c>
      <c r="H9" s="99">
        <f>G9+M9</f>
        <v>353.4</v>
      </c>
      <c r="I9" s="100">
        <f t="shared" si="2"/>
        <v>1.0094258783204797</v>
      </c>
      <c r="J9" s="100">
        <f t="shared" si="3"/>
        <v>7.519148936170212</v>
      </c>
      <c r="K9" s="97">
        <f>муниц!K8+'Лен '!K9+Высокор!K9+Гост!K9+Новотр!K9+Черн!K9</f>
        <v>407.1</v>
      </c>
      <c r="L9" s="100">
        <f t="shared" si="4"/>
        <v>0.86809137803979353</v>
      </c>
      <c r="M9" s="97">
        <f>муниц!M8+'Лен '!M9+Высокор!M9+Гост!M9+Новотр!M9+Черн!M9</f>
        <v>54.6</v>
      </c>
      <c r="N9" s="97">
        <f>муниц!N8+'Лен '!N9+Высокор!N9+Гост!N9+Новотр!N9+Черн!N9</f>
        <v>3.8</v>
      </c>
      <c r="O9" s="100">
        <f t="shared" si="5"/>
        <v>14.368421052631581</v>
      </c>
      <c r="P9" s="97">
        <f>муниц!P8+'Лен '!P9+Высокор!P9+Гост!P9+Новотр!P9+Черн!P9</f>
        <v>184.7</v>
      </c>
      <c r="Q9" s="97">
        <f>муниц!Q8+'Лен '!Q9+Высокор!Q9+Гост!Q9+Новотр!Q9+Черн!Q9</f>
        <v>248.3</v>
      </c>
      <c r="R9" s="97">
        <f>муниц!R8+'Лен '!R9+Высокор!R9+Гост!R9+Новотр!R9+Черн!R9</f>
        <v>217.29999999999998</v>
      </c>
      <c r="S9" s="26"/>
    </row>
    <row r="10" spans="1:19" ht="19.5" customHeight="1">
      <c r="A10" s="40" t="s">
        <v>118</v>
      </c>
      <c r="B10" s="164">
        <v>1010208001</v>
      </c>
      <c r="C10" s="97">
        <f>муниц!C9+'Лен '!C10</f>
        <v>0</v>
      </c>
      <c r="D10" s="97">
        <f>муниц!D9+'Лен '!D10</f>
        <v>0</v>
      </c>
      <c r="E10" s="98">
        <f>C10+D10</f>
        <v>0</v>
      </c>
      <c r="F10" s="97"/>
      <c r="G10" s="97">
        <f>муниц!G9+'Лен '!G10</f>
        <v>0</v>
      </c>
      <c r="H10" s="99">
        <f>G10+M10</f>
        <v>0</v>
      </c>
      <c r="I10" s="100">
        <f t="shared" ref="I10" si="7">IF(E10&gt;0,H10/E10,0)</f>
        <v>0</v>
      </c>
      <c r="J10" s="100"/>
      <c r="K10" s="97">
        <f>муниц!K9+'Лен '!K10</f>
        <v>4.8</v>
      </c>
      <c r="L10" s="100">
        <f t="shared" si="4"/>
        <v>0</v>
      </c>
      <c r="M10" s="97">
        <f>муниц!M9+'Лен '!M10</f>
        <v>0</v>
      </c>
      <c r="N10" s="97">
        <f>муниц!N9+'Лен '!N10</f>
        <v>0</v>
      </c>
      <c r="O10" s="100">
        <f t="shared" si="5"/>
        <v>0</v>
      </c>
      <c r="P10" s="97"/>
      <c r="Q10" s="97"/>
      <c r="R10" s="97"/>
      <c r="S10" s="26"/>
    </row>
    <row r="11" spans="1:19" ht="30.75" customHeight="1">
      <c r="A11" s="40" t="s">
        <v>121</v>
      </c>
      <c r="B11" s="164">
        <v>1010213001</v>
      </c>
      <c r="C11" s="97">
        <f>муниц!C10+Черн!C10</f>
        <v>0</v>
      </c>
      <c r="D11" s="97">
        <f>муниц!D10+Черн!D10+'Лен '!D11</f>
        <v>96.9</v>
      </c>
      <c r="E11" s="98">
        <f>C11+D11</f>
        <v>96.9</v>
      </c>
      <c r="F11" s="97"/>
      <c r="G11" s="97">
        <f>муниц!G10+'Лен '!G11+Новотр!G10+Черн!G10</f>
        <v>145.4</v>
      </c>
      <c r="H11" s="99">
        <f>G11+M11</f>
        <v>167.8</v>
      </c>
      <c r="I11" s="100">
        <f t="shared" ref="I11" si="8">IF(E11&gt;0,H11/E11,0)</f>
        <v>1.7316821465428276</v>
      </c>
      <c r="J11" s="100"/>
      <c r="K11" s="97">
        <f>муниц!K10+Черн!K10+'Лен '!K11</f>
        <v>2.7</v>
      </c>
      <c r="L11" s="100">
        <f t="shared" si="4"/>
        <v>62.148148148148145</v>
      </c>
      <c r="M11" s="97">
        <f>муниц!M10+'Лен '!M11+Новотр!M10+Черн!M10</f>
        <v>22.4</v>
      </c>
      <c r="N11" s="97">
        <f>муниц!N10+Черн!N10+'Лен '!N11</f>
        <v>2.4000000000000004</v>
      </c>
      <c r="O11" s="100">
        <f t="shared" si="5"/>
        <v>9.3333333333333321</v>
      </c>
      <c r="P11" s="97">
        <f>муниц!P10+'Лен '!P11</f>
        <v>17</v>
      </c>
      <c r="Q11" s="97">
        <f>муниц!Q10+'Лен '!Q11</f>
        <v>0</v>
      </c>
      <c r="R11" s="97">
        <f>муниц!R10+'Лен '!R11</f>
        <v>0</v>
      </c>
      <c r="S11" s="26"/>
    </row>
    <row r="12" spans="1:19" ht="18" customHeight="1">
      <c r="A12" s="11" t="s">
        <v>48</v>
      </c>
      <c r="B12" s="19">
        <v>1030200001</v>
      </c>
      <c r="C12" s="102">
        <f t="shared" ref="C12:H12" si="9">SUM(C13:C16)</f>
        <v>15592</v>
      </c>
      <c r="D12" s="102">
        <f t="shared" si="9"/>
        <v>807.59999999999991</v>
      </c>
      <c r="E12" s="102">
        <f t="shared" si="9"/>
        <v>16399.600000000002</v>
      </c>
      <c r="F12" s="102">
        <f t="shared" si="9"/>
        <v>0</v>
      </c>
      <c r="G12" s="102">
        <f t="shared" si="9"/>
        <v>15315.4</v>
      </c>
      <c r="H12" s="102">
        <f t="shared" si="9"/>
        <v>16725.100000000002</v>
      </c>
      <c r="I12" s="96">
        <f t="shared" si="2"/>
        <v>1.0198480450742702</v>
      </c>
      <c r="J12" s="96">
        <f t="shared" si="3"/>
        <v>0</v>
      </c>
      <c r="K12" s="102">
        <f>SUM(K13:K16)</f>
        <v>15507.199999999999</v>
      </c>
      <c r="L12" s="96">
        <f t="shared" si="4"/>
        <v>1.0785377115146515</v>
      </c>
      <c r="M12" s="102">
        <f>SUM(M13:M16)</f>
        <v>1409.7000000000003</v>
      </c>
      <c r="N12" s="102">
        <f>SUM(N13:N16)</f>
        <v>1502.4</v>
      </c>
      <c r="O12" s="96">
        <f t="shared" si="5"/>
        <v>0.93829872204472853</v>
      </c>
      <c r="P12" s="102">
        <f>SUM(P13:P16)</f>
        <v>0</v>
      </c>
      <c r="Q12" s="102">
        <f>SUM(Q13:Q16)</f>
        <v>0</v>
      </c>
      <c r="R12" s="102">
        <f>SUM(R13:R16)</f>
        <v>0</v>
      </c>
      <c r="S12" s="26"/>
    </row>
    <row r="13" spans="1:19" ht="18">
      <c r="A13" s="12" t="s">
        <v>49</v>
      </c>
      <c r="B13" s="168">
        <v>1030223101</v>
      </c>
      <c r="C13" s="97">
        <f>муниц!C12+'Лен '!C13+Высокор!C11+Гост!C11+Новотр!C12+Черн!C12</f>
        <v>8131.9</v>
      </c>
      <c r="D13" s="97">
        <f>муниц!D12+'Лен '!D13+Высокор!D11+Гост!D11+Новотр!D12+Черн!D12</f>
        <v>358.9</v>
      </c>
      <c r="E13" s="98">
        <f>C13+D13</f>
        <v>8490.7999999999993</v>
      </c>
      <c r="F13" s="97">
        <f>муниц!F12+'Лен '!F13+Высокор!F11+Гост!F11+Новотр!F12+Черн!F12</f>
        <v>0</v>
      </c>
      <c r="G13" s="97">
        <f>муниц!G12+'Лен '!G13+Высокор!G11+Гост!G11+Новотр!G12+Черн!G12</f>
        <v>7935.6000000000013</v>
      </c>
      <c r="H13" s="99">
        <f>G13+M13</f>
        <v>8640.5000000000018</v>
      </c>
      <c r="I13" s="100">
        <f t="shared" si="2"/>
        <v>1.0176308475055358</v>
      </c>
      <c r="J13" s="100">
        <f t="shared" si="3"/>
        <v>0</v>
      </c>
      <c r="K13" s="97">
        <f>муниц!K12+'Лен '!K13+Высокор!K11+Гост!K11+Новотр!K12+Черн!K12</f>
        <v>8035.0999999999995</v>
      </c>
      <c r="L13" s="100">
        <f t="shared" si="4"/>
        <v>1.0753444263294798</v>
      </c>
      <c r="M13" s="97">
        <f>муниц!M12+'Лен '!M13+Высокор!M11+Гост!M11+Новотр!M12+Черн!M12</f>
        <v>704.90000000000009</v>
      </c>
      <c r="N13" s="97">
        <f>муниц!N12+'Лен '!N13+Высокор!N11+Гост!N11+Новотр!N12+Черн!N12</f>
        <v>810.6</v>
      </c>
      <c r="O13" s="100">
        <f t="shared" si="5"/>
        <v>0.86960276338514686</v>
      </c>
      <c r="P13" s="97">
        <f>муниц!P12+'Лен '!P13+Высокор!P11+Гост!P11+Новотр!P12+Черн!P12</f>
        <v>0</v>
      </c>
      <c r="Q13" s="97">
        <f>муниц!Q12+'Лен '!Q13+Высокор!Q11+Гост!Q11+Новотр!Q12+Черн!Q12</f>
        <v>0</v>
      </c>
      <c r="R13" s="97">
        <f>муниц!R12+'Лен '!R13+Высокор!R11+Гост!R11+Новотр!R12+Черн!R12</f>
        <v>0</v>
      </c>
      <c r="S13" s="26"/>
    </row>
    <row r="14" spans="1:19" ht="18">
      <c r="A14" s="12" t="s">
        <v>50</v>
      </c>
      <c r="B14" s="168">
        <v>1030224101</v>
      </c>
      <c r="C14" s="97">
        <f>муниц!C13+'Лен '!C14+Высокор!C12+Гост!C12+Новотр!C13+Черн!C13</f>
        <v>38.9</v>
      </c>
      <c r="D14" s="97">
        <f>муниц!D13+'Лен '!D14+Высокор!D12+Гост!D12+Новотр!D13+Черн!D13</f>
        <v>8.2000000000000011</v>
      </c>
      <c r="E14" s="98">
        <f>C14+D14</f>
        <v>47.1</v>
      </c>
      <c r="F14" s="97">
        <f>муниц!F13+'Лен '!F14+Высокор!F12+Гост!F12+Новотр!F13+Черн!F13</f>
        <v>0</v>
      </c>
      <c r="G14" s="97">
        <f>муниц!G13+'Лен '!G14+Высокор!G12+Гост!G12+Новотр!G13+Черн!G13</f>
        <v>45.900000000000013</v>
      </c>
      <c r="H14" s="99">
        <f>G14+M14</f>
        <v>49.900000000000013</v>
      </c>
      <c r="I14" s="100">
        <f t="shared" si="2"/>
        <v>1.0594479830148622</v>
      </c>
      <c r="J14" s="100">
        <f t="shared" si="3"/>
        <v>0</v>
      </c>
      <c r="K14" s="97">
        <f>муниц!K13+'Лен '!K14+Высокор!K12+Гост!K12+Новотр!K13+Черн!K13</f>
        <v>41.699999999999996</v>
      </c>
      <c r="L14" s="100">
        <f t="shared" si="4"/>
        <v>1.1966426858513193</v>
      </c>
      <c r="M14" s="97">
        <f>муниц!M13+'Лен '!M14+Высокор!M12+Гост!M12+Новотр!M13+Черн!M13</f>
        <v>4.0000000000000009</v>
      </c>
      <c r="N14" s="97">
        <f>муниц!N13+'Лен '!N14+Высокор!N12+Гост!N12+Новотр!N13+Черн!N13</f>
        <v>3.4000000000000004</v>
      </c>
      <c r="O14" s="100">
        <f t="shared" si="5"/>
        <v>1.1764705882352942</v>
      </c>
      <c r="P14" s="97">
        <f>муниц!P13+'Лен '!P14+Высокор!P12+Гост!P12+Новотр!P13+Черн!P13</f>
        <v>0</v>
      </c>
      <c r="Q14" s="97">
        <f>муниц!Q13+'Лен '!Q14+Высокор!Q12+Гост!Q12+Новотр!Q13+Черн!Q13</f>
        <v>0</v>
      </c>
      <c r="R14" s="97">
        <f>муниц!R13+'Лен '!R14+Высокор!R12+Гост!R12+Новотр!R13+Черн!R13</f>
        <v>0</v>
      </c>
      <c r="S14" s="26"/>
    </row>
    <row r="15" spans="1:19" ht="18" customHeight="1">
      <c r="A15" s="12" t="s">
        <v>51</v>
      </c>
      <c r="B15" s="168">
        <v>1030225101</v>
      </c>
      <c r="C15" s="97">
        <f>муниц!C14+'Лен '!C15+Высокор!C13+Гост!C13+Новотр!C14+Черн!C14</f>
        <v>8431.7000000000007</v>
      </c>
      <c r="D15" s="97">
        <f>муниц!D14+'Лен '!D15+Высокор!D13+Гост!D13+Новотр!D14+Черн!D14</f>
        <v>399.09999999999997</v>
      </c>
      <c r="E15" s="98">
        <f>C15+D15</f>
        <v>8830.8000000000011</v>
      </c>
      <c r="F15" s="97">
        <f>муниц!F14+'Лен '!F15+Высокор!F13+Гост!F13+Новотр!F14+Черн!F14</f>
        <v>0</v>
      </c>
      <c r="G15" s="97">
        <f>муниц!G14+'Лен '!G15+Высокор!G13+Гост!G13+Новотр!G14+Черн!G14</f>
        <v>8212.5</v>
      </c>
      <c r="H15" s="99">
        <f>G15+M15</f>
        <v>8974.9</v>
      </c>
      <c r="I15" s="100">
        <f t="shared" si="2"/>
        <v>1.0163178873941203</v>
      </c>
      <c r="J15" s="100">
        <f t="shared" si="3"/>
        <v>0</v>
      </c>
      <c r="K15" s="97">
        <f>муниц!K14+'Лен '!K15+Высокор!K13+Гост!K13+Новотр!K14+Черн!K14</f>
        <v>8305</v>
      </c>
      <c r="L15" s="100">
        <f t="shared" si="4"/>
        <v>1.080662251655629</v>
      </c>
      <c r="M15" s="97">
        <f>муниц!M14+'Лен '!M15+Высокор!M13+Гост!M13+Новотр!M14+Черн!M14</f>
        <v>762.4</v>
      </c>
      <c r="N15" s="97">
        <f>муниц!N14+'Лен '!N15+Высокор!N13+Гост!N13+Новотр!N14+Черн!N14</f>
        <v>760.5</v>
      </c>
      <c r="O15" s="100">
        <f t="shared" si="5"/>
        <v>1.0024983563445102</v>
      </c>
      <c r="P15" s="97">
        <f>муниц!P14+'Лен '!P15+Высокор!P13+Гост!P13+Новотр!P14+Черн!P14</f>
        <v>0</v>
      </c>
      <c r="Q15" s="97">
        <f>муниц!Q14+'Лен '!Q15+Высокор!Q13+Гост!Q13+Новотр!Q14+Черн!Q14</f>
        <v>0</v>
      </c>
      <c r="R15" s="97">
        <f>муниц!R14+'Лен '!R15+Высокор!R13+Гост!R13+Новотр!R14+Черн!R14</f>
        <v>0</v>
      </c>
      <c r="S15" s="26"/>
    </row>
    <row r="16" spans="1:19" ht="18">
      <c r="A16" s="12" t="s">
        <v>52</v>
      </c>
      <c r="B16" s="168">
        <v>1030226101</v>
      </c>
      <c r="C16" s="97">
        <f>муниц!C15+'Лен '!C16+Высокор!C14+Гост!C14+Новотр!C15+Черн!C15</f>
        <v>-1010.5</v>
      </c>
      <c r="D16" s="97">
        <f>муниц!D15+'Лен '!D16+Высокор!D14+Гост!D14+Новотр!D15+Черн!D15</f>
        <v>41.4</v>
      </c>
      <c r="E16" s="98">
        <f>C16+D16</f>
        <v>-969.1</v>
      </c>
      <c r="F16" s="97">
        <f>муниц!F15+'Лен '!F16+Высокор!F14+Гост!F14+Новотр!F15+Черн!F15</f>
        <v>0</v>
      </c>
      <c r="G16" s="97">
        <f>муниц!G15+'Лен '!G16+Высокор!G14+Гост!G14+Новотр!G15+Черн!G15</f>
        <v>-878.6</v>
      </c>
      <c r="H16" s="99">
        <f>G16+M16</f>
        <v>-940.2</v>
      </c>
      <c r="I16" s="100">
        <f>H16/E16</f>
        <v>0.9701785161490043</v>
      </c>
      <c r="J16" s="100">
        <f t="shared" si="3"/>
        <v>0</v>
      </c>
      <c r="K16" s="97">
        <f>муниц!K15+'Лен '!K16+Высокор!K14+Гост!K14+Новотр!K15+Черн!K15</f>
        <v>-874.6</v>
      </c>
      <c r="L16" s="100">
        <f t="shared" si="4"/>
        <v>0</v>
      </c>
      <c r="M16" s="97">
        <f>муниц!M15+'Лен '!M16+Высокор!M14+Гост!M14+Новотр!M15+Черн!M15</f>
        <v>-61.6</v>
      </c>
      <c r="N16" s="97">
        <f>муниц!N15+'Лен '!N16+Высокор!N14+Гост!N14+Новотр!N15+Черн!N15</f>
        <v>-72.099999999999994</v>
      </c>
      <c r="O16" s="100">
        <f t="shared" si="5"/>
        <v>0</v>
      </c>
      <c r="P16" s="97">
        <f>муниц!P15+'Лен '!P16+Высокор!P14+Гост!P14+Новотр!P15+Черн!P15</f>
        <v>0</v>
      </c>
      <c r="Q16" s="97">
        <f>муниц!Q15+'Лен '!Q16+Высокор!Q14+Гост!Q14+Новотр!Q15+Черн!Q15</f>
        <v>0</v>
      </c>
      <c r="R16" s="97">
        <f>муниц!R15+'Лен '!R16+Высокор!R14+Гост!R14+Новотр!R15+Черн!R15</f>
        <v>0</v>
      </c>
      <c r="S16" s="26"/>
    </row>
    <row r="17" spans="1:19" ht="18">
      <c r="A17" s="9" t="s">
        <v>82</v>
      </c>
      <c r="B17" s="18">
        <v>1050000000</v>
      </c>
      <c r="C17" s="95">
        <f t="shared" ref="C17:H17" si="10">C18+C19+C20+C21+C22</f>
        <v>37005</v>
      </c>
      <c r="D17" s="95">
        <f t="shared" si="10"/>
        <v>13334.9</v>
      </c>
      <c r="E17" s="140">
        <f t="shared" si="10"/>
        <v>50339.9</v>
      </c>
      <c r="F17" s="95">
        <f t="shared" si="10"/>
        <v>11352.9</v>
      </c>
      <c r="G17" s="95">
        <f t="shared" si="10"/>
        <v>50025.5</v>
      </c>
      <c r="H17" s="95">
        <f t="shared" si="10"/>
        <v>49608.100000000006</v>
      </c>
      <c r="I17" s="96">
        <f t="shared" si="2"/>
        <v>0.98546282372432215</v>
      </c>
      <c r="J17" s="96">
        <f t="shared" si="3"/>
        <v>4.3696412370407565</v>
      </c>
      <c r="K17" s="95">
        <f>K18+K19+K20+K21+K22</f>
        <v>38131.9</v>
      </c>
      <c r="L17" s="96">
        <f t="shared" si="4"/>
        <v>1.3009606130300353</v>
      </c>
      <c r="M17" s="95">
        <f>M18+M19+M20+M21+M22</f>
        <v>-417.40000000000009</v>
      </c>
      <c r="N17" s="95">
        <f>N18+N19+N20+N21+N22</f>
        <v>610.6</v>
      </c>
      <c r="O17" s="96">
        <f t="shared" si="5"/>
        <v>-0.68358991156239779</v>
      </c>
      <c r="P17" s="95">
        <f>P18+P19+P20+P21+P22</f>
        <v>2819.1</v>
      </c>
      <c r="Q17" s="95">
        <f>Q18+Q19+Q20+Q21+Q22</f>
        <v>2111.3999999999996</v>
      </c>
      <c r="R17" s="95">
        <f>R18+R19+R20+R21+R22</f>
        <v>1927.3</v>
      </c>
      <c r="S17" s="26"/>
    </row>
    <row r="18" spans="1:19" ht="18">
      <c r="A18" s="10" t="s">
        <v>53</v>
      </c>
      <c r="B18" s="28">
        <v>1050101001</v>
      </c>
      <c r="C18" s="97">
        <f>муниц!C17</f>
        <v>25500</v>
      </c>
      <c r="D18" s="97">
        <f>муниц!D17</f>
        <v>13641.8</v>
      </c>
      <c r="E18" s="101">
        <f>C18+D18</f>
        <v>39141.800000000003</v>
      </c>
      <c r="F18" s="97">
        <f>муниц!F17</f>
        <v>7051</v>
      </c>
      <c r="G18" s="97">
        <f>муниц!G17</f>
        <v>39096.800000000003</v>
      </c>
      <c r="H18" s="99">
        <f>G18+M18</f>
        <v>39231.300000000003</v>
      </c>
      <c r="I18" s="100">
        <f t="shared" si="2"/>
        <v>1.002286558104124</v>
      </c>
      <c r="J18" s="100">
        <f t="shared" si="3"/>
        <v>5.5639341937313862</v>
      </c>
      <c r="K18" s="97">
        <f>муниц!K17</f>
        <v>26501.9</v>
      </c>
      <c r="L18" s="100">
        <f t="shared" si="4"/>
        <v>1.480320278923398</v>
      </c>
      <c r="M18" s="97">
        <f>муниц!M17</f>
        <v>134.5</v>
      </c>
      <c r="N18" s="97">
        <f>муниц!N17</f>
        <v>437.3</v>
      </c>
      <c r="O18" s="100">
        <f t="shared" si="5"/>
        <v>0.30756917447976218</v>
      </c>
      <c r="P18" s="97">
        <f>муниц!P17</f>
        <v>2169</v>
      </c>
      <c r="Q18" s="97">
        <f>муниц!Q17</f>
        <v>1602.8</v>
      </c>
      <c r="R18" s="97">
        <f>муниц!R17</f>
        <v>1582.8</v>
      </c>
      <c r="S18" s="26"/>
    </row>
    <row r="19" spans="1:19" ht="18">
      <c r="A19" s="10" t="s">
        <v>54</v>
      </c>
      <c r="B19" s="28">
        <v>1050102001</v>
      </c>
      <c r="C19" s="97">
        <f>муниц!C18</f>
        <v>10200</v>
      </c>
      <c r="D19" s="97">
        <f>муниц!D18</f>
        <v>-1334.4</v>
      </c>
      <c r="E19" s="101">
        <f>C19+D19</f>
        <v>8865.6</v>
      </c>
      <c r="F19" s="97">
        <f>муниц!F18</f>
        <v>1509</v>
      </c>
      <c r="G19" s="97">
        <f>муниц!G18</f>
        <v>8712.7000000000007</v>
      </c>
      <c r="H19" s="99">
        <f>G19+M19</f>
        <v>7994.5000000000009</v>
      </c>
      <c r="I19" s="100">
        <f t="shared" si="2"/>
        <v>0.90174381880526988</v>
      </c>
      <c r="J19" s="100">
        <f t="shared" si="3"/>
        <v>5.2978793903247192</v>
      </c>
      <c r="K19" s="97">
        <f>муниц!K18</f>
        <v>10957.4</v>
      </c>
      <c r="L19" s="100">
        <f t="shared" si="4"/>
        <v>0.72959826236150926</v>
      </c>
      <c r="M19" s="97">
        <f>муниц!M18</f>
        <v>-718.2</v>
      </c>
      <c r="N19" s="97">
        <f>муниц!N18</f>
        <v>32.1</v>
      </c>
      <c r="O19" s="100">
        <f t="shared" si="5"/>
        <v>-22.373831775700936</v>
      </c>
      <c r="P19" s="97">
        <f>муниц!P18</f>
        <v>640.79999999999995</v>
      </c>
      <c r="Q19" s="97">
        <f>муниц!Q18</f>
        <v>472.9</v>
      </c>
      <c r="R19" s="97">
        <f>муниц!R18</f>
        <v>310</v>
      </c>
      <c r="S19" s="26"/>
    </row>
    <row r="20" spans="1:19" ht="18">
      <c r="A20" s="13" t="s">
        <v>0</v>
      </c>
      <c r="B20" s="28">
        <v>1050200001</v>
      </c>
      <c r="C20" s="97">
        <f>муниц!C19</f>
        <v>0</v>
      </c>
      <c r="D20" s="97">
        <f>муниц!D19</f>
        <v>0</v>
      </c>
      <c r="E20" s="101">
        <f>C20+D20</f>
        <v>0</v>
      </c>
      <c r="F20" s="97">
        <f>муниц!F19</f>
        <v>2641</v>
      </c>
      <c r="G20" s="97">
        <f>муниц!G19</f>
        <v>0</v>
      </c>
      <c r="H20" s="99">
        <f>G20+M20</f>
        <v>0</v>
      </c>
      <c r="I20" s="100">
        <f t="shared" si="2"/>
        <v>0</v>
      </c>
      <c r="J20" s="100">
        <f t="shared" si="3"/>
        <v>0</v>
      </c>
      <c r="K20" s="97">
        <f>муниц!K19</f>
        <v>-4</v>
      </c>
      <c r="L20" s="100">
        <f t="shared" si="4"/>
        <v>0</v>
      </c>
      <c r="M20" s="97">
        <f>муниц!M19</f>
        <v>0</v>
      </c>
      <c r="N20" s="97">
        <f>муниц!N19</f>
        <v>0</v>
      </c>
      <c r="O20" s="100">
        <f t="shared" si="5"/>
        <v>0</v>
      </c>
      <c r="P20" s="97">
        <f>муниц!P19</f>
        <v>2.6</v>
      </c>
      <c r="Q20" s="97">
        <f>муниц!Q19</f>
        <v>2.6</v>
      </c>
      <c r="R20" s="97">
        <f>муниц!R19</f>
        <v>2.6</v>
      </c>
      <c r="S20" s="26"/>
    </row>
    <row r="21" spans="1:19" ht="18">
      <c r="A21" s="13" t="s">
        <v>7</v>
      </c>
      <c r="B21" s="28">
        <v>1050300001</v>
      </c>
      <c r="C21" s="97">
        <f>муниц!C20+'Лен '!C18+Высокор!C16+Гост!C16+Новотр!C17+Черн!C17</f>
        <v>55</v>
      </c>
      <c r="D21" s="97">
        <f>муниц!D20+'Лен '!D18+Высокор!D16+Гост!D16+Новотр!D17+Черн!D17</f>
        <v>-22.5</v>
      </c>
      <c r="E21" s="118">
        <f>C21+D21</f>
        <v>32.5</v>
      </c>
      <c r="F21" s="97">
        <f>муниц!F20+'Лен '!F18+Высокор!F16+Гост!F16+Новотр!F17+Черн!F17</f>
        <v>63</v>
      </c>
      <c r="G21" s="97">
        <f>муниц!G20+'Лен '!G18+Высокор!G16+Гост!G16+Новотр!G17+Черн!G17</f>
        <v>20</v>
      </c>
      <c r="H21" s="99">
        <f>G21+M21</f>
        <v>20.399999999999999</v>
      </c>
      <c r="I21" s="100">
        <f t="shared" si="2"/>
        <v>0.62769230769230766</v>
      </c>
      <c r="J21" s="100">
        <f t="shared" si="3"/>
        <v>0.32380952380952377</v>
      </c>
      <c r="K21" s="97">
        <f>муниц!K20+'Лен '!K18+Высокор!K16+Гост!K16+Новотр!K17+Черн!K17</f>
        <v>-296.39999999999998</v>
      </c>
      <c r="L21" s="100">
        <f t="shared" si="4"/>
        <v>0</v>
      </c>
      <c r="M21" s="97">
        <f>муниц!M20+'Лен '!M18+Высокор!M16+Гост!M16+Новотр!M17+Черн!M17</f>
        <v>0.4</v>
      </c>
      <c r="N21" s="97">
        <f>муниц!N20+'Лен '!N18+Высокор!N16+Гост!N16+Новотр!N17+Черн!N17</f>
        <v>0</v>
      </c>
      <c r="O21" s="100">
        <f t="shared" si="5"/>
        <v>0</v>
      </c>
      <c r="P21" s="97">
        <f>муниц!P20+'Лен '!P18+Высокор!P16+Гост!P16+Новотр!P17+Черн!P17</f>
        <v>0</v>
      </c>
      <c r="Q21" s="97">
        <f>муниц!Q20+'Лен '!Q18+Высокор!Q16+Гост!Q16+Новотр!Q17+Черн!Q17</f>
        <v>0.4</v>
      </c>
      <c r="R21" s="97">
        <f>муниц!R20+'Лен '!R18+Высокор!R16+Гост!R16+Новотр!R17+Черн!R17</f>
        <v>0</v>
      </c>
      <c r="S21" s="26"/>
    </row>
    <row r="22" spans="1:19" ht="18">
      <c r="A22" s="10" t="s">
        <v>96</v>
      </c>
      <c r="B22" s="28">
        <v>1050402002</v>
      </c>
      <c r="C22" s="97">
        <f>муниц!C21</f>
        <v>1250</v>
      </c>
      <c r="D22" s="97">
        <f>муниц!D21</f>
        <v>1050</v>
      </c>
      <c r="E22" s="101">
        <f>C22+D22</f>
        <v>2300</v>
      </c>
      <c r="F22" s="97">
        <f>муниц!F21</f>
        <v>88.9</v>
      </c>
      <c r="G22" s="97">
        <f>муниц!G21</f>
        <v>2196</v>
      </c>
      <c r="H22" s="99">
        <f>G22+M22</f>
        <v>2361.9</v>
      </c>
      <c r="I22" s="100">
        <f t="shared" si="2"/>
        <v>1.026913043478261</v>
      </c>
      <c r="J22" s="100">
        <f t="shared" si="3"/>
        <v>26.568053993250842</v>
      </c>
      <c r="K22" s="97">
        <f>муниц!K21</f>
        <v>973</v>
      </c>
      <c r="L22" s="100">
        <f t="shared" si="4"/>
        <v>2.4274409044193219</v>
      </c>
      <c r="M22" s="97">
        <f>муниц!M21</f>
        <v>165.9</v>
      </c>
      <c r="N22" s="97">
        <f>муниц!N21</f>
        <v>141.19999999999999</v>
      </c>
      <c r="O22" s="100">
        <f t="shared" si="5"/>
        <v>1.1749291784702551</v>
      </c>
      <c r="P22" s="97">
        <f>муниц!P21</f>
        <v>6.7</v>
      </c>
      <c r="Q22" s="97">
        <f>муниц!Q21</f>
        <v>32.700000000000003</v>
      </c>
      <c r="R22" s="97">
        <f>муниц!R21</f>
        <v>31.9</v>
      </c>
      <c r="S22" s="26"/>
    </row>
    <row r="23" spans="1:19" ht="18">
      <c r="A23" s="9" t="s">
        <v>80</v>
      </c>
      <c r="B23" s="18">
        <v>1060000000</v>
      </c>
      <c r="C23" s="103">
        <f t="shared" ref="C23:H23" si="11">C24+C25+C26</f>
        <v>10533</v>
      </c>
      <c r="D23" s="103">
        <f t="shared" si="11"/>
        <v>2071.1999999999998</v>
      </c>
      <c r="E23" s="140">
        <f t="shared" si="11"/>
        <v>12604.2</v>
      </c>
      <c r="F23" s="103">
        <f t="shared" si="11"/>
        <v>1983</v>
      </c>
      <c r="G23" s="103">
        <f t="shared" si="11"/>
        <v>12235.2</v>
      </c>
      <c r="H23" s="103">
        <f t="shared" si="11"/>
        <v>12316.500000000002</v>
      </c>
      <c r="I23" s="96">
        <f t="shared" si="2"/>
        <v>0.97717427524158618</v>
      </c>
      <c r="J23" s="96">
        <f t="shared" si="3"/>
        <v>6.2110438729198192</v>
      </c>
      <c r="K23" s="103">
        <f>K24+K25+K26</f>
        <v>10623.3</v>
      </c>
      <c r="L23" s="96">
        <f t="shared" si="4"/>
        <v>1.159385501680269</v>
      </c>
      <c r="M23" s="103">
        <f>M24+M25+M26</f>
        <v>81.3</v>
      </c>
      <c r="N23" s="103">
        <f>N24+N25+N26</f>
        <v>312.3</v>
      </c>
      <c r="O23" s="96">
        <f t="shared" si="5"/>
        <v>0.26032660902977905</v>
      </c>
      <c r="P23" s="95">
        <f>P24+P25+P26</f>
        <v>716.5</v>
      </c>
      <c r="Q23" s="103">
        <f>Q24+Q25+Q26</f>
        <v>307.5</v>
      </c>
      <c r="R23" s="103">
        <f>R24+R25+R26</f>
        <v>475.1</v>
      </c>
      <c r="S23" s="26"/>
    </row>
    <row r="24" spans="1:19" ht="18">
      <c r="A24" s="13" t="s">
        <v>16</v>
      </c>
      <c r="B24" s="13">
        <v>1060103003</v>
      </c>
      <c r="C24" s="97">
        <f>'Лен '!C23+Высокор!C21+Гост!C21+Новотр!C22+Черн!C22</f>
        <v>1133</v>
      </c>
      <c r="D24" s="97">
        <f>'Лен '!D23+Высокор!D21+Гост!D21+Новотр!D22+Черн!D22</f>
        <v>-15</v>
      </c>
      <c r="E24" s="101">
        <f>C24+D24</f>
        <v>1118</v>
      </c>
      <c r="F24" s="97">
        <f>'Лен '!F23+Высокор!F21+Гост!F21+Новотр!F22+Черн!F22</f>
        <v>0</v>
      </c>
      <c r="G24" s="99">
        <f>'Лен '!G23+Высокор!G21+Гост!G21+Новотр!G22+Черн!G22</f>
        <v>953.6</v>
      </c>
      <c r="H24" s="99">
        <f>G24+M24</f>
        <v>1097.7</v>
      </c>
      <c r="I24" s="100">
        <f>IF(E24&gt;0,H24/E24,0)</f>
        <v>0.98184257602862257</v>
      </c>
      <c r="J24" s="100">
        <f>IF(F24&gt;0,H24/F24,0)</f>
        <v>0</v>
      </c>
      <c r="K24" s="99">
        <f>'Лен '!K23+Высокор!K21+Гост!K21+Новотр!K22+Черн!K22</f>
        <v>1117.3</v>
      </c>
      <c r="L24" s="100">
        <f>IF(K24&gt;0,H24/K24,0)</f>
        <v>0.98245771055222419</v>
      </c>
      <c r="M24" s="99">
        <f>'Лен '!M23+Высокор!M21+Гост!M21+Новотр!M22+Черн!M22</f>
        <v>144.1</v>
      </c>
      <c r="N24" s="99">
        <f>'Лен '!N23+Высокор!N21+Гост!N21+Новотр!N22+Черн!N22</f>
        <v>171.9</v>
      </c>
      <c r="O24" s="100">
        <f>IF(N24&gt;0,M24/N24,0)</f>
        <v>0.83827806864456078</v>
      </c>
      <c r="P24" s="99">
        <f>'Лен '!P23+Высокор!P21+Гост!P21+Новотр!P22+Черн!P22</f>
        <v>304.3</v>
      </c>
      <c r="Q24" s="99">
        <f>'Лен '!Q23+Высокор!Q21+Гост!Q21+Новотр!Q22+Черн!Q22</f>
        <v>165.70000000000002</v>
      </c>
      <c r="R24" s="99">
        <f>'Лен '!R23+Высокор!R21+Гост!R21+Новотр!R22+Черн!R22</f>
        <v>290.8</v>
      </c>
      <c r="S24" s="26"/>
    </row>
    <row r="25" spans="1:19" ht="18">
      <c r="A25" s="13" t="s">
        <v>19</v>
      </c>
      <c r="B25" s="13">
        <v>1060201002</v>
      </c>
      <c r="C25" s="97">
        <f>муниц!C22</f>
        <v>7800</v>
      </c>
      <c r="D25" s="97">
        <f>муниц!D22</f>
        <v>2070.5</v>
      </c>
      <c r="E25" s="101">
        <f>C25+D25</f>
        <v>9870.5</v>
      </c>
      <c r="F25" s="97">
        <f>муниц!F22</f>
        <v>1983</v>
      </c>
      <c r="G25" s="97">
        <f>муниц!G22</f>
        <v>9946.1</v>
      </c>
      <c r="H25" s="99">
        <f>G25+M25</f>
        <v>9801.6</v>
      </c>
      <c r="I25" s="100">
        <f t="shared" si="2"/>
        <v>0.99301960387011812</v>
      </c>
      <c r="J25" s="100">
        <f t="shared" si="3"/>
        <v>4.9428139183055979</v>
      </c>
      <c r="K25" s="97">
        <f>муниц!K22</f>
        <v>7996</v>
      </c>
      <c r="L25" s="100">
        <f t="shared" si="4"/>
        <v>1.2258129064532266</v>
      </c>
      <c r="M25" s="97">
        <f>муниц!M22</f>
        <v>-144.5</v>
      </c>
      <c r="N25" s="97">
        <f>муниц!N22</f>
        <v>46.3</v>
      </c>
      <c r="O25" s="100">
        <f t="shared" si="5"/>
        <v>-3.1209503239740823</v>
      </c>
      <c r="P25" s="97">
        <f>муниц!P22</f>
        <v>116</v>
      </c>
      <c r="Q25" s="97">
        <f>муниц!Q22</f>
        <v>0</v>
      </c>
      <c r="R25" s="97">
        <f>муниц!R22</f>
        <v>0</v>
      </c>
      <c r="S25" s="26"/>
    </row>
    <row r="26" spans="1:19" ht="18">
      <c r="A26" s="13" t="s">
        <v>15</v>
      </c>
      <c r="B26" s="13">
        <v>1060600000</v>
      </c>
      <c r="C26" s="97">
        <f>'Лен '!C20+Высокор!C18+Гост!C18+Новотр!C19+Черн!C19</f>
        <v>1600</v>
      </c>
      <c r="D26" s="97">
        <f>'Лен '!D20+Высокор!D18+Гост!D18+Новотр!D19+Черн!D19</f>
        <v>15.700000000000003</v>
      </c>
      <c r="E26" s="98">
        <f>C26+D26</f>
        <v>1615.7</v>
      </c>
      <c r="F26" s="97">
        <f>'Лен '!F20+Высокор!F18+Гост!F18+Новотр!F19+Черн!F19</f>
        <v>0</v>
      </c>
      <c r="G26" s="99">
        <f>'Лен '!G20+Высокор!G18+Гост!G18+Новотр!G19+Черн!G19</f>
        <v>1335.5000000000002</v>
      </c>
      <c r="H26" s="99">
        <f>G26+M26</f>
        <v>1417.2000000000003</v>
      </c>
      <c r="I26" s="100">
        <f t="shared" si="2"/>
        <v>0.87714303397908044</v>
      </c>
      <c r="J26" s="100">
        <f t="shared" si="3"/>
        <v>0</v>
      </c>
      <c r="K26" s="99">
        <f>'Лен '!K20+Высокор!K18+Гост!K18+Новотр!K19+Черн!K19</f>
        <v>1510</v>
      </c>
      <c r="L26" s="100">
        <f t="shared" si="4"/>
        <v>0.9385430463576161</v>
      </c>
      <c r="M26" s="99">
        <f>'Лен '!M20+Высокор!M18+Гост!M18+Новотр!M19+Черн!M19</f>
        <v>81.7</v>
      </c>
      <c r="N26" s="99">
        <f>'Лен '!N20+Высокор!N18+Гост!N18+Новотр!N19+Черн!N19</f>
        <v>94.100000000000009</v>
      </c>
      <c r="O26" s="100">
        <f t="shared" si="5"/>
        <v>0.86822529224229539</v>
      </c>
      <c r="P26" s="99">
        <f>'Лен '!P20+Высокор!P18+Гост!P18+Новотр!P19+Черн!P19</f>
        <v>296.20000000000005</v>
      </c>
      <c r="Q26" s="99">
        <f>'Лен '!Q20+Высокор!Q18+Гост!Q18+Новотр!Q19+Черн!Q19</f>
        <v>141.80000000000001</v>
      </c>
      <c r="R26" s="99">
        <f>'Лен '!R20+Высокор!R18+Гост!R18+Новотр!R19+Черн!R19</f>
        <v>184.3</v>
      </c>
      <c r="S26" s="26"/>
    </row>
    <row r="27" spans="1:19" ht="18">
      <c r="A27" s="9" t="s">
        <v>83</v>
      </c>
      <c r="B27" s="18">
        <v>1080000000</v>
      </c>
      <c r="C27" s="102">
        <f>муниц!C23+Высокор!C22+Гост!C22+Новотр!C23+Черн!C23</f>
        <v>1161</v>
      </c>
      <c r="D27" s="102">
        <f>муниц!D23+Высокор!D22+Гост!D22+Новотр!D23+Черн!D23</f>
        <v>632.09999999999991</v>
      </c>
      <c r="E27" s="104">
        <f>C27+D27</f>
        <v>1793.1</v>
      </c>
      <c r="F27" s="102">
        <f>муниц!F23+Высокор!F22+Гост!F22+Новотр!F23+Черн!F23</f>
        <v>289</v>
      </c>
      <c r="G27" s="102">
        <f>муниц!G23+Высокор!G22+Гост!G22+Новотр!G23+Черн!G23</f>
        <v>1468.8</v>
      </c>
      <c r="H27" s="95">
        <f>G27+M27</f>
        <v>1848.3</v>
      </c>
      <c r="I27" s="96">
        <f t="shared" si="2"/>
        <v>1.0307846745859126</v>
      </c>
      <c r="J27" s="96">
        <f t="shared" si="3"/>
        <v>6.3955017301038062</v>
      </c>
      <c r="K27" s="102">
        <f>муниц!K23+Высокор!K22+Гост!K22+Новотр!K23+Черн!K23</f>
        <v>1002.8000000000001</v>
      </c>
      <c r="L27" s="96">
        <f t="shared" si="4"/>
        <v>1.8431392102114079</v>
      </c>
      <c r="M27" s="102">
        <f>муниц!M23+Высокор!M22+Гост!M22+Новотр!M23+Черн!M23</f>
        <v>379.5</v>
      </c>
      <c r="N27" s="102">
        <f>муниц!N23+Высокор!N22+Гост!N22+Новотр!N23+Черн!N23</f>
        <v>61.800000000000004</v>
      </c>
      <c r="O27" s="96">
        <f t="shared" si="5"/>
        <v>6.1407766990291259</v>
      </c>
      <c r="P27" s="105"/>
      <c r="Q27" s="105"/>
      <c r="R27" s="105"/>
      <c r="S27" s="26"/>
    </row>
    <row r="28" spans="1:19" ht="18" hidden="1">
      <c r="A28" s="9" t="s">
        <v>84</v>
      </c>
      <c r="B28" s="18">
        <v>1090000000</v>
      </c>
      <c r="C28" s="102">
        <f>муниц!C24+'Лен '!C24+Высокор!C23+Гост!C23+Новотр!C24+Черн!C24</f>
        <v>0</v>
      </c>
      <c r="D28" s="102">
        <f>муниц!D24+'Лен '!D24+Высокор!D23+Гост!D23+Новотр!D24+Черн!D24</f>
        <v>0</v>
      </c>
      <c r="E28" s="104">
        <f>C28+D28</f>
        <v>0</v>
      </c>
      <c r="F28" s="102">
        <f>муниц!F24+'Лен '!F24+Высокор!F23+Гост!F23+Новотр!F24+Черн!F24</f>
        <v>0</v>
      </c>
      <c r="G28" s="102">
        <f>муниц!G24+'Лен '!G24+Высокор!G23+Гост!G23+Новотр!G24+Черн!G24</f>
        <v>0</v>
      </c>
      <c r="H28" s="95">
        <f>G28+M28</f>
        <v>0</v>
      </c>
      <c r="I28" s="96">
        <f t="shared" si="2"/>
        <v>0</v>
      </c>
      <c r="J28" s="96">
        <f t="shared" si="3"/>
        <v>0</v>
      </c>
      <c r="K28" s="102">
        <f>муниц!K24+'Лен '!K24+Высокор!K23+Гост!K23+Новотр!K24+Черн!K24</f>
        <v>0</v>
      </c>
      <c r="L28" s="96">
        <f t="shared" si="4"/>
        <v>0</v>
      </c>
      <c r="M28" s="102">
        <f>муниц!M24+'Лен '!M24+Высокор!M23+Гост!M23+Новотр!M24+Черн!M24</f>
        <v>0</v>
      </c>
      <c r="N28" s="102">
        <f>муниц!N24+'Лен '!N24+Высокор!N23+Гост!N23+Новотр!N24+Черн!N24</f>
        <v>0</v>
      </c>
      <c r="O28" s="96">
        <f t="shared" si="5"/>
        <v>0</v>
      </c>
      <c r="P28" s="102">
        <f>муниц!P24+'Лен '!P24+Высокор!P23+Гост!P23+Новотр!P24+Черн!P24</f>
        <v>0</v>
      </c>
      <c r="Q28" s="102">
        <f>муниц!Q24+'Лен '!Q24+Высокор!Q23+Гост!Q23+Новотр!Q24+Черн!Q24</f>
        <v>0</v>
      </c>
      <c r="R28" s="102">
        <f>муниц!R24+'Лен '!R24+Высокор!R23+Гост!R23+Новотр!R24+Черн!R24</f>
        <v>0</v>
      </c>
      <c r="S28" s="26"/>
    </row>
    <row r="29" spans="1:19" ht="18">
      <c r="A29" s="14" t="s">
        <v>22</v>
      </c>
      <c r="B29" s="20"/>
      <c r="C29" s="106">
        <f t="shared" ref="C29:H29" si="12">C30+C36+C37+C41+C44+C45</f>
        <v>33558.222000000002</v>
      </c>
      <c r="D29" s="107">
        <f t="shared" si="12"/>
        <v>1496.933000000002</v>
      </c>
      <c r="E29" s="107">
        <f t="shared" si="12"/>
        <v>35055.154999999999</v>
      </c>
      <c r="F29" s="107">
        <f t="shared" si="12"/>
        <v>7948.7</v>
      </c>
      <c r="G29" s="107">
        <f t="shared" si="12"/>
        <v>31328.800000000003</v>
      </c>
      <c r="H29" s="107">
        <f t="shared" si="12"/>
        <v>35968.200000000004</v>
      </c>
      <c r="I29" s="94">
        <f t="shared" si="2"/>
        <v>1.0260459552953056</v>
      </c>
      <c r="J29" s="94">
        <f t="shared" si="3"/>
        <v>4.5250418307396183</v>
      </c>
      <c r="K29" s="107">
        <f>K30+K36+K37+K41+K44+K45</f>
        <v>22795.100000000002</v>
      </c>
      <c r="L29" s="94">
        <f t="shared" si="4"/>
        <v>1.577891739891468</v>
      </c>
      <c r="M29" s="107">
        <f>M30+M36+M37+M41+M44+M45</f>
        <v>4639.4000000000005</v>
      </c>
      <c r="N29" s="107">
        <f>N30+N36+N37+N41+N44+N45</f>
        <v>1900.3999999999999</v>
      </c>
      <c r="O29" s="94">
        <f t="shared" si="5"/>
        <v>2.44127552094296</v>
      </c>
      <c r="P29" s="107">
        <f>P30+P36+P37+P41+P44+P45</f>
        <v>1511.4</v>
      </c>
      <c r="Q29" s="107">
        <f>Q30+Q36+Q37+Q41+Q44+Q45</f>
        <v>412.4</v>
      </c>
      <c r="R29" s="107">
        <f>R30+R36+R37+R41+R44+R45</f>
        <v>663.8</v>
      </c>
      <c r="S29" s="26"/>
    </row>
    <row r="30" spans="1:19" ht="18">
      <c r="A30" s="9" t="s">
        <v>85</v>
      </c>
      <c r="B30" s="18">
        <v>1110000000</v>
      </c>
      <c r="C30" s="102">
        <f t="shared" ref="C30:H30" si="13">SUM(C31:C35)</f>
        <v>19661.5</v>
      </c>
      <c r="D30" s="102">
        <f t="shared" si="13"/>
        <v>-3855.5559999999991</v>
      </c>
      <c r="E30" s="102">
        <f t="shared" si="13"/>
        <v>15805.944000000001</v>
      </c>
      <c r="F30" s="102">
        <f t="shared" si="13"/>
        <v>2087.3000000000002</v>
      </c>
      <c r="G30" s="102">
        <f t="shared" si="13"/>
        <v>13051.100000000002</v>
      </c>
      <c r="H30" s="102">
        <f t="shared" si="13"/>
        <v>16254.000000000002</v>
      </c>
      <c r="I30" s="96">
        <f t="shared" si="2"/>
        <v>1.028347310353624</v>
      </c>
      <c r="J30" s="96">
        <f t="shared" si="3"/>
        <v>7.7870933742154937</v>
      </c>
      <c r="K30" s="102">
        <f>SUM(K31:K35)</f>
        <v>5697.4</v>
      </c>
      <c r="L30" s="96">
        <f t="shared" si="4"/>
        <v>2.8528802611717632</v>
      </c>
      <c r="M30" s="102">
        <f>SUM(M31:M35)</f>
        <v>3202.9000000000005</v>
      </c>
      <c r="N30" s="102">
        <f>SUM(N31:N35)</f>
        <v>692.19999999999993</v>
      </c>
      <c r="O30" s="96">
        <f t="shared" si="5"/>
        <v>4.6271308870268717</v>
      </c>
      <c r="P30" s="102">
        <f>SUM(P31:P35)</f>
        <v>1511.4</v>
      </c>
      <c r="Q30" s="102">
        <f>SUM(Q31:Q35)</f>
        <v>412.4</v>
      </c>
      <c r="R30" s="102">
        <f>SUM(R31:R35)</f>
        <v>663.8</v>
      </c>
      <c r="S30" s="26"/>
    </row>
    <row r="31" spans="1:19" ht="0.75" customHeight="1">
      <c r="A31" s="13" t="s">
        <v>20</v>
      </c>
      <c r="B31" s="13">
        <v>1110105005</v>
      </c>
      <c r="C31" s="97">
        <f>муниц!C27</f>
        <v>0</v>
      </c>
      <c r="D31" s="97">
        <f>муниц!D27</f>
        <v>0</v>
      </c>
      <c r="E31" s="101">
        <f t="shared" ref="E31:E44" si="14">C31+D31</f>
        <v>0</v>
      </c>
      <c r="F31" s="97">
        <f>муниц!F27</f>
        <v>0</v>
      </c>
      <c r="G31" s="97">
        <f>муниц!G27</f>
        <v>0</v>
      </c>
      <c r="H31" s="99">
        <f t="shared" ref="H31:H36" si="15">G31+M31</f>
        <v>0</v>
      </c>
      <c r="I31" s="100">
        <f t="shared" si="2"/>
        <v>0</v>
      </c>
      <c r="J31" s="100">
        <f t="shared" si="3"/>
        <v>0</v>
      </c>
      <c r="K31" s="97">
        <f>муниц!K27</f>
        <v>0</v>
      </c>
      <c r="L31" s="100">
        <f t="shared" si="4"/>
        <v>0</v>
      </c>
      <c r="M31" s="97">
        <f>муниц!M27</f>
        <v>0</v>
      </c>
      <c r="N31" s="97">
        <f>муниц!N27</f>
        <v>0</v>
      </c>
      <c r="O31" s="100">
        <f t="shared" si="5"/>
        <v>0</v>
      </c>
      <c r="P31" s="97"/>
      <c r="Q31" s="97"/>
      <c r="R31" s="97"/>
      <c r="S31" s="26"/>
    </row>
    <row r="32" spans="1:19" ht="18">
      <c r="A32" s="13" t="s">
        <v>1</v>
      </c>
      <c r="B32" s="13">
        <v>1110501013</v>
      </c>
      <c r="C32" s="97">
        <f>муниц!C28+муниц!C29+'Лен '!C27+'Лен '!C28+Черн!C28</f>
        <v>2597</v>
      </c>
      <c r="D32" s="97">
        <f>муниц!D28+муниц!D29+'Лен '!D27+'Лен '!D28+Черн!D28</f>
        <v>1113.7</v>
      </c>
      <c r="E32" s="97">
        <f>муниц!E28+муниц!E29+'Лен '!E27+'Лен '!E28+Черн!E28</f>
        <v>3710.7</v>
      </c>
      <c r="F32" s="97">
        <f>муниц!F28+муниц!F29+'Лен '!F27+'Лен '!F28+Черн!F28</f>
        <v>900</v>
      </c>
      <c r="G32" s="97">
        <f>муниц!G28+муниц!G29+'Лен '!G27+'Лен '!G28+Черн!G28</f>
        <v>3749.2999999999997</v>
      </c>
      <c r="H32" s="97">
        <f>муниц!H28+муниц!H29+'Лен '!H27+'Лен '!H28+Черн!H28+Высокор!H26</f>
        <v>4028.1</v>
      </c>
      <c r="I32" s="100">
        <f t="shared" si="2"/>
        <v>1.0855364216994099</v>
      </c>
      <c r="J32" s="100">
        <f t="shared" si="3"/>
        <v>4.4756666666666662</v>
      </c>
      <c r="K32" s="97">
        <f>муниц!K28+муниц!K29+'Лен '!K27+'Лен '!K28+Высокор!K26+Новотр!K27+Черн!K28</f>
        <v>3240.3999999999996</v>
      </c>
      <c r="L32" s="100">
        <f t="shared" si="4"/>
        <v>1.2430872731761513</v>
      </c>
      <c r="M32" s="97">
        <f>муниц!M28+муниц!M29+'Лен '!M27+'Лен '!M28+Черн!M28+Высокор!M26</f>
        <v>278.79999999999995</v>
      </c>
      <c r="N32" s="97">
        <f>муниц!N28+муниц!N29+'Лен '!N27+'Лен '!N28+Черн!N28+Новотр!N27</f>
        <v>354.7</v>
      </c>
      <c r="O32" s="100">
        <f t="shared" si="5"/>
        <v>0.78601635184663088</v>
      </c>
      <c r="P32" s="97">
        <f>муниц!P28+муниц!P29+'Лен '!P27+Высокор!P27+Гост!P26+Новотр!P27+Черн!P27</f>
        <v>1103.4000000000001</v>
      </c>
      <c r="Q32" s="97">
        <f>муниц!Q28+муниц!Q29+'Лен '!Q27+Высокор!Q27+Гост!Q26+Новотр!Q27+Черн!Q27</f>
        <v>391.4</v>
      </c>
      <c r="R32" s="97">
        <f>муниц!R28+муниц!R29+'Лен '!R27+Высокор!R27+Гост!R26+Новотр!R27+Черн!R27</f>
        <v>632.79999999999995</v>
      </c>
      <c r="S32" s="26"/>
    </row>
    <row r="33" spans="1:19" ht="18">
      <c r="A33" s="13" t="s">
        <v>17</v>
      </c>
      <c r="B33" s="13">
        <v>1110503510</v>
      </c>
      <c r="C33" s="97">
        <f>муниц!C30</f>
        <v>15583.5</v>
      </c>
      <c r="D33" s="97">
        <f>муниц!D30</f>
        <v>-14513.5</v>
      </c>
      <c r="E33" s="101">
        <f t="shared" si="14"/>
        <v>1070</v>
      </c>
      <c r="F33" s="97">
        <f>муниц!F30</f>
        <v>1187.3</v>
      </c>
      <c r="G33" s="97">
        <f>муниц!G30</f>
        <v>956.4</v>
      </c>
      <c r="H33" s="99">
        <f t="shared" si="15"/>
        <v>1100.5</v>
      </c>
      <c r="I33" s="100">
        <f t="shared" si="2"/>
        <v>1.0285046728971963</v>
      </c>
      <c r="J33" s="100">
        <f t="shared" si="3"/>
        <v>0.92689295039164499</v>
      </c>
      <c r="K33" s="97">
        <f>муниц!K30</f>
        <v>1141.5999999999999</v>
      </c>
      <c r="L33" s="100">
        <f t="shared" si="4"/>
        <v>0.96399789768745625</v>
      </c>
      <c r="M33" s="97">
        <f>муниц!M30</f>
        <v>144.1</v>
      </c>
      <c r="N33" s="97">
        <f>муниц!N30</f>
        <v>190.8</v>
      </c>
      <c r="O33" s="100">
        <f t="shared" si="5"/>
        <v>0.75524109014675045</v>
      </c>
      <c r="P33" s="97">
        <f>муниц!P30+Новотр!P28</f>
        <v>408</v>
      </c>
      <c r="Q33" s="97">
        <f>муниц!Q30</f>
        <v>0</v>
      </c>
      <c r="R33" s="97">
        <f>муниц!R30</f>
        <v>0</v>
      </c>
      <c r="S33" s="26"/>
    </row>
    <row r="34" spans="1:19" ht="18">
      <c r="A34" s="13" t="s">
        <v>110</v>
      </c>
      <c r="B34" s="13">
        <v>1110507500</v>
      </c>
      <c r="C34" s="97">
        <f>'Лен '!C29+муниц!C31+Высокор!C27</f>
        <v>749</v>
      </c>
      <c r="D34" s="97">
        <f>'Лен '!D29+муниц!D31+Высокор!D27</f>
        <v>9437</v>
      </c>
      <c r="E34" s="98">
        <f t="shared" si="14"/>
        <v>10186</v>
      </c>
      <c r="F34" s="97">
        <f>'Лен '!F31+Гост!F27</f>
        <v>0</v>
      </c>
      <c r="G34" s="97">
        <f>'Лен '!G29+муниц!G31+Высокор!G27</f>
        <v>7517.7000000000007</v>
      </c>
      <c r="H34" s="99">
        <f t="shared" si="15"/>
        <v>10185.900000000001</v>
      </c>
      <c r="I34" s="100">
        <f t="shared" si="2"/>
        <v>0.99999018260357364</v>
      </c>
      <c r="J34" s="100">
        <f t="shared" si="3"/>
        <v>0</v>
      </c>
      <c r="K34" s="97">
        <f>'Лен '!K29+муниц!K31+Высокор!K27</f>
        <v>507</v>
      </c>
      <c r="L34" s="100">
        <f t="shared" si="4"/>
        <v>20.0905325443787</v>
      </c>
      <c r="M34" s="97">
        <f>'Лен '!M29+муниц!M31+Высокор!M27</f>
        <v>2668.2000000000003</v>
      </c>
      <c r="N34" s="97">
        <f>'Лен '!N29+муниц!N31+Высокор!N27</f>
        <v>32.300000000000004</v>
      </c>
      <c r="O34" s="100">
        <f t="shared" si="5"/>
        <v>82.606811145510832</v>
      </c>
      <c r="P34" s="108"/>
      <c r="Q34" s="108"/>
      <c r="R34" s="108"/>
      <c r="S34" s="26"/>
    </row>
    <row r="35" spans="1:19" ht="18">
      <c r="A35" s="13" t="s">
        <v>23</v>
      </c>
      <c r="B35" s="13">
        <v>1110904505</v>
      </c>
      <c r="C35" s="97">
        <f>муниц!C32+'Лен '!C30+Высокор!C28+Гост!C28+Новотр!C28+Черн!C29</f>
        <v>732</v>
      </c>
      <c r="D35" s="97">
        <f>муниц!D32+'Лен '!D30+Высокор!D28+Гост!D28+Новотр!D28+Черн!D29</f>
        <v>107.244</v>
      </c>
      <c r="E35" s="118">
        <f t="shared" si="14"/>
        <v>839.24400000000003</v>
      </c>
      <c r="F35" s="97">
        <f>муниц!F32+'Лен '!F30+Высокор!F28+Гост!F28+Новотр!F28+Черн!F29</f>
        <v>0</v>
      </c>
      <c r="G35" s="97">
        <f>муниц!G32+'Лен '!G30+Высокор!G28+Гост!G28+Новотр!G28+Черн!G29</f>
        <v>827.7</v>
      </c>
      <c r="H35" s="99">
        <f t="shared" si="15"/>
        <v>939.5</v>
      </c>
      <c r="I35" s="100">
        <f t="shared" si="2"/>
        <v>1.119459894857753</v>
      </c>
      <c r="J35" s="100">
        <f t="shared" si="3"/>
        <v>0</v>
      </c>
      <c r="K35" s="97">
        <f>муниц!K32+'Лен '!K30+Высокор!K28+Гост!K28+Новотр!K28+Черн!K29</f>
        <v>808.4</v>
      </c>
      <c r="L35" s="100">
        <f t="shared" si="4"/>
        <v>1.1621721919841663</v>
      </c>
      <c r="M35" s="97">
        <f>муниц!M32+'Лен '!M30+Высокор!M28+Гост!M28+Новотр!M28+Черн!M29</f>
        <v>111.80000000000001</v>
      </c>
      <c r="N35" s="97">
        <f>муниц!N32+'Лен '!N30+Высокор!N28+Гост!N28+Новотр!N28+Черн!N29</f>
        <v>114.39999999999999</v>
      </c>
      <c r="O35" s="100">
        <f t="shared" si="5"/>
        <v>0.9772727272727274</v>
      </c>
      <c r="P35" s="108">
        <f>'Лен '!P30+муниц!P32</f>
        <v>0</v>
      </c>
      <c r="Q35" s="108">
        <f>'Лен '!Q30+Новотр!Q28+муниц!Q32</f>
        <v>21</v>
      </c>
      <c r="R35" s="108">
        <f>'Лен '!R30+муниц!R32</f>
        <v>31</v>
      </c>
      <c r="S35" s="26"/>
    </row>
    <row r="36" spans="1:19" ht="18">
      <c r="A36" s="9" t="s">
        <v>81</v>
      </c>
      <c r="B36" s="18">
        <v>1120000000</v>
      </c>
      <c r="C36" s="102">
        <f>муниц!C33</f>
        <v>679.6</v>
      </c>
      <c r="D36" s="102">
        <f>муниц!D33</f>
        <v>0</v>
      </c>
      <c r="E36" s="104">
        <f t="shared" si="14"/>
        <v>679.6</v>
      </c>
      <c r="F36" s="102">
        <f>муниц!F33</f>
        <v>75</v>
      </c>
      <c r="G36" s="102">
        <f>муниц!G33</f>
        <v>980.3</v>
      </c>
      <c r="H36" s="95">
        <f t="shared" si="15"/>
        <v>980.59999999999991</v>
      </c>
      <c r="I36" s="96">
        <f t="shared" si="2"/>
        <v>1.4429075927015891</v>
      </c>
      <c r="J36" s="96">
        <f t="shared" si="3"/>
        <v>13.074666666666666</v>
      </c>
      <c r="K36" s="102">
        <f>муниц!K33</f>
        <v>1244.5999999999999</v>
      </c>
      <c r="L36" s="96">
        <f t="shared" si="4"/>
        <v>0.7878836573999678</v>
      </c>
      <c r="M36" s="102">
        <f>муниц!M33</f>
        <v>0.3</v>
      </c>
      <c r="N36" s="102">
        <f>муниц!N33</f>
        <v>0</v>
      </c>
      <c r="O36" s="96">
        <f t="shared" si="5"/>
        <v>0</v>
      </c>
      <c r="P36" s="95"/>
      <c r="Q36" s="105"/>
      <c r="R36" s="105"/>
      <c r="S36" s="26"/>
    </row>
    <row r="37" spans="1:19" ht="18">
      <c r="A37" s="9" t="s">
        <v>66</v>
      </c>
      <c r="B37" s="18">
        <v>1130000000</v>
      </c>
      <c r="C37" s="102">
        <f t="shared" ref="C37:H37" si="16">SUM(C38:C40)</f>
        <v>8187</v>
      </c>
      <c r="D37" s="102">
        <f t="shared" si="16"/>
        <v>1331</v>
      </c>
      <c r="E37" s="103">
        <f t="shared" si="16"/>
        <v>9518</v>
      </c>
      <c r="F37" s="102">
        <f t="shared" si="16"/>
        <v>5703.4</v>
      </c>
      <c r="G37" s="102">
        <f t="shared" si="16"/>
        <v>8164.8000000000011</v>
      </c>
      <c r="H37" s="102">
        <f t="shared" si="16"/>
        <v>9093.2999999999993</v>
      </c>
      <c r="I37" s="96">
        <f t="shared" si="2"/>
        <v>0.95537928136163053</v>
      </c>
      <c r="J37" s="96">
        <f t="shared" si="3"/>
        <v>1.5943647648770909</v>
      </c>
      <c r="K37" s="102">
        <f>SUM(K38:K40)</f>
        <v>9085.2000000000007</v>
      </c>
      <c r="L37" s="96">
        <f t="shared" si="4"/>
        <v>1.0008915598996169</v>
      </c>
      <c r="M37" s="102">
        <f>SUM(M38:M40)</f>
        <v>928.5</v>
      </c>
      <c r="N37" s="102">
        <f>SUM(N38:N40)</f>
        <v>938.69999999999993</v>
      </c>
      <c r="O37" s="96">
        <f t="shared" si="5"/>
        <v>0.9891339085969959</v>
      </c>
      <c r="P37" s="102">
        <f>SUM(P38:P40)</f>
        <v>0</v>
      </c>
      <c r="Q37" s="102">
        <f>SUM(Q38:Q40)</f>
        <v>0</v>
      </c>
      <c r="R37" s="102">
        <f>SUM(R38:R40)</f>
        <v>0</v>
      </c>
      <c r="S37" s="26"/>
    </row>
    <row r="38" spans="1:19" ht="18">
      <c r="A38" s="15" t="s">
        <v>34</v>
      </c>
      <c r="B38" s="22">
        <v>1130199500</v>
      </c>
      <c r="C38" s="109">
        <f>муниц!C35</f>
        <v>7800</v>
      </c>
      <c r="D38" s="109">
        <f>муниц!D35</f>
        <v>-692</v>
      </c>
      <c r="E38" s="101">
        <f t="shared" si="14"/>
        <v>7108</v>
      </c>
      <c r="F38" s="109">
        <f>муниц!F35</f>
        <v>5203.3999999999996</v>
      </c>
      <c r="G38" s="109">
        <f>муниц!G35</f>
        <v>5885.6</v>
      </c>
      <c r="H38" s="99">
        <f>G38+M38</f>
        <v>6609</v>
      </c>
      <c r="I38" s="100">
        <f>IF(E38&gt;0,H38/E38,0)</f>
        <v>0.92979741136747329</v>
      </c>
      <c r="J38" s="100">
        <f>IF(F38&gt;0,H38/F38,0)</f>
        <v>1.2701310681477496</v>
      </c>
      <c r="K38" s="109">
        <f>муниц!K35</f>
        <v>6498.4</v>
      </c>
      <c r="L38" s="100">
        <f t="shared" si="4"/>
        <v>1.0170195740489967</v>
      </c>
      <c r="M38" s="109">
        <f>муниц!M35</f>
        <v>723.4</v>
      </c>
      <c r="N38" s="109">
        <f>муниц!N35</f>
        <v>714.8</v>
      </c>
      <c r="O38" s="100">
        <f t="shared" si="5"/>
        <v>1.0120313374370453</v>
      </c>
      <c r="P38" s="110"/>
      <c r="Q38" s="111"/>
      <c r="R38" s="111"/>
      <c r="S38" s="26"/>
    </row>
    <row r="39" spans="1:19" ht="18">
      <c r="A39" s="15" t="s">
        <v>35</v>
      </c>
      <c r="B39" s="22">
        <v>1130206500</v>
      </c>
      <c r="C39" s="109">
        <f>муниц!C36+'Лен '!C33</f>
        <v>387</v>
      </c>
      <c r="D39" s="109">
        <f>муниц!D36+'Лен '!D33</f>
        <v>0</v>
      </c>
      <c r="E39" s="118">
        <f t="shared" si="14"/>
        <v>387</v>
      </c>
      <c r="F39" s="109">
        <f>муниц!F36</f>
        <v>500</v>
      </c>
      <c r="G39" s="109">
        <f>муниц!G36+'Лен '!G33</f>
        <v>372.8</v>
      </c>
      <c r="H39" s="99">
        <f>G39+M39</f>
        <v>435.5</v>
      </c>
      <c r="I39" s="100">
        <f>IF(E39&gt;0,H39/E39,0)</f>
        <v>1.1253229974160206</v>
      </c>
      <c r="J39" s="100">
        <f>IF(F39&gt;0,H39/F39,0)</f>
        <v>0.871</v>
      </c>
      <c r="K39" s="109">
        <f>муниц!K36+'Лен '!K33</f>
        <v>424.6</v>
      </c>
      <c r="L39" s="100">
        <f t="shared" si="4"/>
        <v>1.0256712199717382</v>
      </c>
      <c r="M39" s="109">
        <f>муниц!M36+'Лен '!M33</f>
        <v>62.699999999999996</v>
      </c>
      <c r="N39" s="109">
        <f>муниц!N36+'Лен '!N33</f>
        <v>40</v>
      </c>
      <c r="O39" s="100">
        <f t="shared" si="5"/>
        <v>1.5674999999999999</v>
      </c>
      <c r="P39" s="110"/>
      <c r="Q39" s="111"/>
      <c r="R39" s="111"/>
      <c r="S39" s="26"/>
    </row>
    <row r="40" spans="1:19" ht="18">
      <c r="A40" s="15" t="s">
        <v>38</v>
      </c>
      <c r="B40" s="22">
        <v>1130299510</v>
      </c>
      <c r="C40" s="109">
        <f>муниц!C37+'Лен '!C34+Высокор!C29+Гост!C29+Новотр!C29+Черн!C30</f>
        <v>0</v>
      </c>
      <c r="D40" s="143">
        <f>муниц!D37+'Лен '!D34+Высокор!D29+Гост!D29+Новотр!D29+Черн!D30</f>
        <v>2023</v>
      </c>
      <c r="E40" s="118">
        <f t="shared" si="14"/>
        <v>2023</v>
      </c>
      <c r="F40" s="109">
        <f>муниц!F37+'Лен '!F34+Высокор!F29+Гост!F29+Новотр!F29+Черн!F30</f>
        <v>0</v>
      </c>
      <c r="G40" s="109">
        <f>муниц!G37+'Лен '!G34+Высокор!G29+Гост!G29+Новотр!G29+Черн!G30</f>
        <v>1906.4</v>
      </c>
      <c r="H40" s="99">
        <f>G40+M40</f>
        <v>2048.8000000000002</v>
      </c>
      <c r="I40" s="100">
        <f>IF(E40&gt;0,H40/E40,0)</f>
        <v>1.0127533366287693</v>
      </c>
      <c r="J40" s="100">
        <f>IF(F40&gt;0,H40/F40,0)</f>
        <v>0</v>
      </c>
      <c r="K40" s="109">
        <f>муниц!K37+'Лен '!K34+Высокор!K29+Гост!K29+Новотр!K29+Черн!K30</f>
        <v>2162.2000000000003</v>
      </c>
      <c r="L40" s="100">
        <f t="shared" si="4"/>
        <v>0.9475534178151882</v>
      </c>
      <c r="M40" s="109">
        <f>муниц!M37+'Лен '!M34+Высокор!M29+Гост!M29+Новотр!M29+Черн!M30</f>
        <v>142.4</v>
      </c>
      <c r="N40" s="109">
        <f>муниц!N37+'Лен '!N34+Высокор!N29+Гост!N29+Новотр!N29+Черн!N30</f>
        <v>183.9</v>
      </c>
      <c r="O40" s="100">
        <f t="shared" si="5"/>
        <v>0.77433387710712342</v>
      </c>
      <c r="P40" s="110"/>
      <c r="Q40" s="111"/>
      <c r="R40" s="111"/>
      <c r="S40" s="26"/>
    </row>
    <row r="41" spans="1:19" ht="18">
      <c r="A41" s="9" t="s">
        <v>86</v>
      </c>
      <c r="B41" s="18">
        <v>1140000000</v>
      </c>
      <c r="C41" s="102">
        <f t="shared" ref="C41:H41" si="17">SUM(C42:C43)</f>
        <v>792.5</v>
      </c>
      <c r="D41" s="102">
        <f t="shared" si="17"/>
        <v>3616.6040000000012</v>
      </c>
      <c r="E41" s="102">
        <f t="shared" si="17"/>
        <v>4409.1040000000012</v>
      </c>
      <c r="F41" s="102">
        <f t="shared" si="17"/>
        <v>0</v>
      </c>
      <c r="G41" s="102">
        <f t="shared" si="17"/>
        <v>4617.8</v>
      </c>
      <c r="H41" s="102">
        <f t="shared" si="17"/>
        <v>5073.5</v>
      </c>
      <c r="I41" s="96">
        <f t="shared" si="2"/>
        <v>1.150687305175836</v>
      </c>
      <c r="J41" s="96">
        <f t="shared" si="3"/>
        <v>0</v>
      </c>
      <c r="K41" s="102">
        <f>SUM(K42:K43)</f>
        <v>1948.2</v>
      </c>
      <c r="L41" s="96">
        <f t="shared" si="4"/>
        <v>2.6041987475618518</v>
      </c>
      <c r="M41" s="102">
        <f>SUM(M42:M43)</f>
        <v>455.7</v>
      </c>
      <c r="N41" s="102">
        <f>SUM(N42:N43)</f>
        <v>220</v>
      </c>
      <c r="O41" s="96">
        <f t="shared" si="5"/>
        <v>2.0713636363636363</v>
      </c>
      <c r="P41" s="105"/>
      <c r="Q41" s="105"/>
      <c r="R41" s="105"/>
      <c r="S41" s="26"/>
    </row>
    <row r="42" spans="1:19" ht="18">
      <c r="A42" s="13" t="s">
        <v>31</v>
      </c>
      <c r="B42" s="13">
        <v>1140205200</v>
      </c>
      <c r="C42" s="109">
        <f>муниц!C40+'Лен '!C36+Высокор!C30+Гост!C30+Новотр!C31+Черн!C31+муниц!C39</f>
        <v>183.5</v>
      </c>
      <c r="D42" s="109">
        <f>муниц!D40+'Лен '!D36+Высокор!D30+Гост!D30+Новотр!D31+Черн!D31+муниц!D39</f>
        <v>2028.5100000000014</v>
      </c>
      <c r="E42" s="109">
        <f>муниц!E40+'Лен '!E36+Высокор!E30+Гост!E30+Новотр!E31+Черн!E31+муниц!E39</f>
        <v>2212.0100000000016</v>
      </c>
      <c r="F42" s="109">
        <f>муниц!F40+'Лен '!F36+Высокор!F30+Гост!F30+Новотр!F31+Черн!F31+муниц!F39</f>
        <v>0</v>
      </c>
      <c r="G42" s="109">
        <f>муниц!G40+'Лен '!G36+Высокор!G30+Гост!G30+Новотр!G31+Черн!G31+муниц!G39</f>
        <v>2185.8000000000002</v>
      </c>
      <c r="H42" s="109">
        <f>муниц!H40+'Лен '!H36+Высокор!H30+Гост!H30+Новотр!H31+Черн!H31+муниц!H39</f>
        <v>2261.3000000000002</v>
      </c>
      <c r="I42" s="100">
        <f t="shared" si="2"/>
        <v>1.0222829010718752</v>
      </c>
      <c r="J42" s="100">
        <f t="shared" si="3"/>
        <v>0</v>
      </c>
      <c r="K42" s="109">
        <f>муниц!K40+'Лен '!K36+Высокор!K30+Гост!K30+Новотр!K31+Черн!K31+муниц!K39</f>
        <v>1450</v>
      </c>
      <c r="L42" s="100">
        <f t="shared" si="4"/>
        <v>1.5595172413793104</v>
      </c>
      <c r="M42" s="109">
        <f>муниц!M40+'Лен '!M36+Высокор!M30+Гост!M30+Новотр!M31+Черн!M31+муниц!M39</f>
        <v>75.5</v>
      </c>
      <c r="N42" s="109">
        <f>муниц!N40+'Лен '!N36+Высокор!N30+Гост!N30+Новотр!N31+Черн!N31+муниц!N39</f>
        <v>220</v>
      </c>
      <c r="O42" s="100">
        <f t="shared" si="5"/>
        <v>0.3431818181818182</v>
      </c>
      <c r="P42" s="111"/>
      <c r="Q42" s="111"/>
      <c r="R42" s="111"/>
      <c r="S42" s="26"/>
    </row>
    <row r="43" spans="1:19" ht="18">
      <c r="A43" s="13" t="s">
        <v>32</v>
      </c>
      <c r="B43" s="13">
        <v>1140600000</v>
      </c>
      <c r="C43" s="109">
        <f>муниц!C41+'Лен '!C37+Высокор!C31+Гост!C31+Новотр!C30+Черн!C32+'Лен '!C38+Высокор!C32</f>
        <v>609</v>
      </c>
      <c r="D43" s="109">
        <f>муниц!D41+'Лен '!D37+Высокор!D31+Гост!D31+Новотр!D30+Черн!D32+'Лен '!D38+Высокор!D32</f>
        <v>1588.0939999999998</v>
      </c>
      <c r="E43" s="101">
        <f t="shared" si="14"/>
        <v>2197.0940000000001</v>
      </c>
      <c r="F43" s="109">
        <f>муниц!F41+'Лен '!F37+Высокор!F31+Гост!F31+Новотр!F30+Черн!F32</f>
        <v>0</v>
      </c>
      <c r="G43" s="109">
        <f>муниц!G41+'Лен '!G37+Высокор!G31+Гост!G31+Новотр!G30+Черн!G32+'Лен '!G38+Высокор!G32</f>
        <v>2432</v>
      </c>
      <c r="H43" s="99">
        <f>G43+M43</f>
        <v>2812.2</v>
      </c>
      <c r="I43" s="100">
        <f t="shared" si="2"/>
        <v>1.2799634426201154</v>
      </c>
      <c r="J43" s="100">
        <f t="shared" si="3"/>
        <v>0</v>
      </c>
      <c r="K43" s="109">
        <f>муниц!K41+'Лен '!K37+Высокор!K31+Гост!K31+Новотр!K30+Черн!K32+'Лен '!K38+Высокор!K32</f>
        <v>498.2</v>
      </c>
      <c r="L43" s="100">
        <f t="shared" si="4"/>
        <v>5.6447209955841027</v>
      </c>
      <c r="M43" s="109">
        <f>муниц!M41+'Лен '!M37+Высокор!M31+Гост!M31+Новотр!M30+Черн!M32+'Лен '!M38</f>
        <v>380.2</v>
      </c>
      <c r="N43" s="109">
        <f>муниц!N41+'Лен '!N37+Высокор!N31+Гост!N31+Новотр!N30+Черн!N32+'Лен '!N38</f>
        <v>0</v>
      </c>
      <c r="O43" s="100">
        <f t="shared" si="5"/>
        <v>0</v>
      </c>
      <c r="P43" s="111"/>
      <c r="Q43" s="111"/>
      <c r="R43" s="111"/>
      <c r="S43" s="26"/>
    </row>
    <row r="44" spans="1:19" ht="18">
      <c r="A44" s="9" t="s">
        <v>87</v>
      </c>
      <c r="B44" s="18">
        <v>1160000000</v>
      </c>
      <c r="C44" s="102">
        <f>муниц!C42+'Лен '!C39+Высокор!C33+Гост!C32+Новотр!C32+Черн!C33</f>
        <v>843.7</v>
      </c>
      <c r="D44" s="102">
        <f>муниц!D42+'Лен '!D39+Высокор!D33+Гост!D32+Новотр!D32+Черн!D33</f>
        <v>462.28800000000001</v>
      </c>
      <c r="E44" s="238">
        <f t="shared" si="14"/>
        <v>1305.9880000000001</v>
      </c>
      <c r="F44" s="102">
        <f>муниц!F42+'Лен '!F39+Высокор!F33+Гост!F32+Новотр!F32+Черн!F33</f>
        <v>83</v>
      </c>
      <c r="G44" s="102">
        <f>муниц!G42+'Лен '!G39+Высокор!G33+Гост!G32+Новотр!G32+Черн!G33</f>
        <v>1188.7</v>
      </c>
      <c r="H44" s="95">
        <f>G44+M44</f>
        <v>1265.2</v>
      </c>
      <c r="I44" s="96">
        <f t="shared" si="2"/>
        <v>0.96876847260464871</v>
      </c>
      <c r="J44" s="96">
        <f t="shared" si="3"/>
        <v>15.243373493975904</v>
      </c>
      <c r="K44" s="102">
        <f>муниц!K42+'Лен '!K39+Высокор!K33+Гост!K32+Новотр!K32+Черн!K33</f>
        <v>2414.6999999999998</v>
      </c>
      <c r="L44" s="96">
        <f t="shared" si="4"/>
        <v>0.52395742742369655</v>
      </c>
      <c r="M44" s="102">
        <f>муниц!M42+'Лен '!M39+Высокор!M33+Гост!M32+Новотр!M32+Черн!M33+Высокор!M32</f>
        <v>76.5</v>
      </c>
      <c r="N44" s="102">
        <f>муниц!N42+'Лен '!N39+Высокор!N33+Гост!N32+Новотр!N32+Черн!N33+Высокор!N32</f>
        <v>50.7</v>
      </c>
      <c r="O44" s="96">
        <f t="shared" si="5"/>
        <v>1.5088757396449703</v>
      </c>
      <c r="P44" s="105"/>
      <c r="Q44" s="105"/>
      <c r="R44" s="105"/>
      <c r="S44" s="26"/>
    </row>
    <row r="45" spans="1:19" ht="18">
      <c r="A45" s="9" t="s">
        <v>88</v>
      </c>
      <c r="B45" s="18">
        <v>1170000000</v>
      </c>
      <c r="C45" s="102">
        <f t="shared" ref="C45:H45" si="18">SUM(C46:C48)</f>
        <v>3393.922</v>
      </c>
      <c r="D45" s="102">
        <f t="shared" si="18"/>
        <v>-57.402999999999992</v>
      </c>
      <c r="E45" s="102">
        <f t="shared" si="18"/>
        <v>3336.5190000000002</v>
      </c>
      <c r="F45" s="102">
        <f t="shared" si="18"/>
        <v>0</v>
      </c>
      <c r="G45" s="102">
        <f t="shared" si="18"/>
        <v>3326.1000000000004</v>
      </c>
      <c r="H45" s="102">
        <f t="shared" si="18"/>
        <v>3301.6000000000004</v>
      </c>
      <c r="I45" s="96">
        <f t="shared" si="2"/>
        <v>0.98953430206751414</v>
      </c>
      <c r="J45" s="96">
        <f t="shared" si="3"/>
        <v>0</v>
      </c>
      <c r="K45" s="102">
        <f>SUM(K46:K48)</f>
        <v>2405</v>
      </c>
      <c r="L45" s="96">
        <f t="shared" si="4"/>
        <v>1.3728066528066529</v>
      </c>
      <c r="M45" s="102">
        <f>SUM(M46:M48)</f>
        <v>-24.5</v>
      </c>
      <c r="N45" s="102">
        <f>SUM(N46:N48)</f>
        <v>-1.2000000000000002</v>
      </c>
      <c r="O45" s="96">
        <f t="shared" si="5"/>
        <v>0</v>
      </c>
      <c r="P45" s="102">
        <f>SUM(P46:P47)</f>
        <v>0</v>
      </c>
      <c r="Q45" s="102">
        <f>SUM(Q46:Q47)</f>
        <v>0</v>
      </c>
      <c r="R45" s="102">
        <f>SUM(R46:R47)</f>
        <v>0</v>
      </c>
      <c r="S45" s="26"/>
    </row>
    <row r="46" spans="1:19" ht="18">
      <c r="A46" s="13" t="s">
        <v>8</v>
      </c>
      <c r="B46" s="13">
        <v>1170105005</v>
      </c>
      <c r="C46" s="97"/>
      <c r="D46" s="97"/>
      <c r="E46" s="101">
        <f>C46+D46</f>
        <v>0</v>
      </c>
      <c r="F46" s="97"/>
      <c r="G46" s="97">
        <f>муниц!G44+'Лен '!G41+Высокор!G35+Гост!G34+Новотр!G34+Черн!G35</f>
        <v>0.3</v>
      </c>
      <c r="H46" s="99">
        <f>G46+M46</f>
        <v>1.1000000000000001</v>
      </c>
      <c r="I46" s="100">
        <f t="shared" si="2"/>
        <v>0</v>
      </c>
      <c r="J46" s="100">
        <f t="shared" si="3"/>
        <v>0</v>
      </c>
      <c r="K46" s="97">
        <f>муниц!K44+'Лен '!K41+Высокор!K35+Гост!K34+Новотр!K34+Черн!K35</f>
        <v>-0.4</v>
      </c>
      <c r="L46" s="100">
        <f t="shared" si="4"/>
        <v>0</v>
      </c>
      <c r="M46" s="97">
        <f>муниц!M44+'Лен '!M41+Высокор!M35+Гост!M34+Новотр!M34+Черн!M35</f>
        <v>0.8</v>
      </c>
      <c r="N46" s="97">
        <f>муниц!N44+'Лен '!N41+Высокор!N35+Гост!N34+Новотр!N34+Черн!N35</f>
        <v>-1.8</v>
      </c>
      <c r="O46" s="100">
        <f t="shared" si="5"/>
        <v>0</v>
      </c>
      <c r="P46" s="100"/>
      <c r="Q46" s="108"/>
      <c r="R46" s="108"/>
      <c r="S46" s="26"/>
    </row>
    <row r="47" spans="1:19" ht="18">
      <c r="A47" s="13" t="s">
        <v>14</v>
      </c>
      <c r="B47" s="13">
        <v>1170505005</v>
      </c>
      <c r="C47" s="97">
        <f>муниц!C45+'Лен '!C42+Высокор!C36+Гост!C35+Новотр!C35+Черн!C36</f>
        <v>0</v>
      </c>
      <c r="D47" s="97">
        <f>муниц!D45+'Лен '!D42+Высокор!D36+Гост!D35+Новотр!D35+Черн!D36</f>
        <v>5</v>
      </c>
      <c r="E47" s="101">
        <f>C47+D47</f>
        <v>5</v>
      </c>
      <c r="F47" s="97">
        <f>муниц!F45+'Лен '!F42+Высокор!F36+Гост!F35+Новотр!F35+Черн!F36</f>
        <v>0</v>
      </c>
      <c r="G47" s="97">
        <f>муниц!G45+'Лен '!G42+Высокор!G36+Гост!G35+Новотр!G35+Черн!G36</f>
        <v>7.1</v>
      </c>
      <c r="H47" s="99">
        <f>G47+M47</f>
        <v>7.3</v>
      </c>
      <c r="I47" s="100">
        <f t="shared" si="2"/>
        <v>1.46</v>
      </c>
      <c r="J47" s="100">
        <f t="shared" si="3"/>
        <v>0</v>
      </c>
      <c r="K47" s="97">
        <f>муниц!K45+'Лен '!K42+Высокор!K36+Гост!K35+Новотр!K35+Черн!K36</f>
        <v>5.4999999999999991</v>
      </c>
      <c r="L47" s="100">
        <f t="shared" si="4"/>
        <v>1.3272727272727274</v>
      </c>
      <c r="M47" s="97">
        <f>муниц!M45+'Лен '!M42+Высокор!M36+Гост!M35+Новотр!M35+Черн!M36</f>
        <v>0.2</v>
      </c>
      <c r="N47" s="97">
        <f>муниц!N45+'Лен '!N42+Высокор!N36+Гост!N35+Новотр!N35+Черн!N36</f>
        <v>0.6</v>
      </c>
      <c r="O47" s="100">
        <f t="shared" si="5"/>
        <v>0.33333333333333337</v>
      </c>
      <c r="P47" s="97"/>
      <c r="Q47" s="97"/>
      <c r="R47" s="97"/>
      <c r="S47" s="26"/>
    </row>
    <row r="48" spans="1:19" ht="18">
      <c r="A48" s="45" t="s">
        <v>114</v>
      </c>
      <c r="B48" s="158">
        <v>1171503005</v>
      </c>
      <c r="C48" s="97">
        <f>муниц!C46+'Лен '!C43+Высокор!C37+Гост!C36+Новотр!C36+Черн!C37</f>
        <v>3393.922</v>
      </c>
      <c r="D48" s="162">
        <f>муниц!D46+'Лен '!D43+Высокор!D37+Новотр!D36+Черн!D37+Гост!D36</f>
        <v>-62.402999999999992</v>
      </c>
      <c r="E48" s="101">
        <f>C48+D48</f>
        <v>3331.5190000000002</v>
      </c>
      <c r="F48" s="97"/>
      <c r="G48" s="97">
        <f>муниц!G46+'Лен '!G43+Высокор!G37+Гост!G36+Новотр!G36+Черн!G37</f>
        <v>3318.7000000000003</v>
      </c>
      <c r="H48" s="99">
        <f>G48+M48</f>
        <v>3293.2000000000003</v>
      </c>
      <c r="I48" s="100">
        <f t="shared" si="2"/>
        <v>0.9884980394828905</v>
      </c>
      <c r="J48" s="100"/>
      <c r="K48" s="97">
        <f>муниц!K46+'Лен '!K43+Высокор!K37+Гост!K36+Новотр!K36+Черн!K37</f>
        <v>2399.9</v>
      </c>
      <c r="L48" s="100">
        <f t="shared" si="4"/>
        <v>1.372223842660111</v>
      </c>
      <c r="M48" s="97">
        <f>муниц!M46+'Лен '!M43+Высокор!M37+Гост!M36+Новотр!M36+Черн!M37</f>
        <v>-25.5</v>
      </c>
      <c r="N48" s="97">
        <f>муниц!N46+'Лен '!N43+Высокор!N37+Гост!N36+Новотр!N36+Черн!N37</f>
        <v>0</v>
      </c>
      <c r="O48" s="100">
        <f t="shared" si="5"/>
        <v>0</v>
      </c>
      <c r="P48" s="97"/>
      <c r="Q48" s="97"/>
      <c r="R48" s="97"/>
      <c r="S48" s="26"/>
    </row>
    <row r="49" spans="1:19" ht="18">
      <c r="A49" s="16" t="s">
        <v>6</v>
      </c>
      <c r="B49" s="23">
        <v>1000000000</v>
      </c>
      <c r="C49" s="112">
        <f t="shared" ref="C49:H49" si="19">C5+C29</f>
        <v>127482.22200000001</v>
      </c>
      <c r="D49" s="112">
        <f t="shared" si="19"/>
        <v>21859.933000000001</v>
      </c>
      <c r="E49" s="160">
        <f t="shared" si="19"/>
        <v>149342.15500000003</v>
      </c>
      <c r="F49" s="114">
        <f t="shared" si="19"/>
        <v>31471.4</v>
      </c>
      <c r="G49" s="115">
        <f t="shared" si="19"/>
        <v>139706</v>
      </c>
      <c r="H49" s="115">
        <f t="shared" si="19"/>
        <v>150704.90000000002</v>
      </c>
      <c r="I49" s="116">
        <f t="shared" si="2"/>
        <v>1.0091249855072735</v>
      </c>
      <c r="J49" s="116">
        <f t="shared" si="3"/>
        <v>4.7886303119657851</v>
      </c>
      <c r="K49" s="113">
        <f>K5+K29</f>
        <v>116832.1</v>
      </c>
      <c r="L49" s="116">
        <f t="shared" si="4"/>
        <v>1.28992716898866</v>
      </c>
      <c r="M49" s="115">
        <f>M5+M29</f>
        <v>10998.900000000001</v>
      </c>
      <c r="N49" s="115">
        <f>N5+N29</f>
        <v>8699.6</v>
      </c>
      <c r="O49" s="116">
        <f t="shared" si="5"/>
        <v>1.2642995080233574</v>
      </c>
      <c r="P49" s="113">
        <f>P5+P29</f>
        <v>5661.6</v>
      </c>
      <c r="Q49" s="113">
        <f>Q5+Q29</f>
        <v>3402.4999999999995</v>
      </c>
      <c r="R49" s="113">
        <f>R5+R29</f>
        <v>3647.5</v>
      </c>
      <c r="S49" s="26"/>
    </row>
    <row r="50" spans="1:19" ht="18">
      <c r="A50" s="13" t="s">
        <v>36</v>
      </c>
      <c r="B50" s="21">
        <v>2000000000</v>
      </c>
      <c r="C50" s="117">
        <f>муниц!C49+'Лен '!C46+Высокор!C40+Гост!C39+Новотр!C39+Черн!C40-6600-800-5245-11177-4000</f>
        <v>504337.16000000003</v>
      </c>
      <c r="D50" s="117">
        <f>муниц!D49+'Лен '!D46+Высокор!D40+Гост!D39+Новотр!D39+Черн!D40-1900-581.5-181.3-39+290-942-686.2-1917+237.25</f>
        <v>91433.928999999989</v>
      </c>
      <c r="E50" s="118">
        <f>C50+D50</f>
        <v>595771.08900000004</v>
      </c>
      <c r="F50" s="99">
        <f>муниц!F49</f>
        <v>74695.19</v>
      </c>
      <c r="G50" s="212">
        <v>538214.19999999995</v>
      </c>
      <c r="H50" s="212">
        <f>G50+M50</f>
        <v>594677.69999999995</v>
      </c>
      <c r="I50" s="100">
        <f t="shared" si="2"/>
        <v>0.99816474981719017</v>
      </c>
      <c r="J50" s="100">
        <f t="shared" si="3"/>
        <v>7.9613921592541628</v>
      </c>
      <c r="K50" s="99">
        <v>315865.2</v>
      </c>
      <c r="L50" s="100">
        <f t="shared" si="4"/>
        <v>1.8826945798397543</v>
      </c>
      <c r="M50" s="99">
        <v>56463.5</v>
      </c>
      <c r="N50" s="99">
        <v>33258.699999999997</v>
      </c>
      <c r="O50" s="100">
        <f t="shared" si="5"/>
        <v>1.6977061641014233</v>
      </c>
      <c r="P50" s="108"/>
      <c r="Q50" s="108"/>
      <c r="R50" s="108"/>
      <c r="S50" s="26"/>
    </row>
    <row r="51" spans="1:19" ht="18.75">
      <c r="A51" s="8" t="s">
        <v>113</v>
      </c>
      <c r="B51" s="125" t="s">
        <v>102</v>
      </c>
      <c r="C51" s="99">
        <f>муниц!C50+'Лен '!C47+Высокор!C41+Новотр!C40</f>
        <v>91864.5</v>
      </c>
      <c r="D51" s="117">
        <f>муниц!D50+Новотр!D40</f>
        <v>-72015.469000000012</v>
      </c>
      <c r="E51" s="118">
        <f>C51+D51</f>
        <v>19849.030999999988</v>
      </c>
      <c r="F51" s="99"/>
      <c r="G51" s="212">
        <f>муниц!G50+Высокор!G41+Новотр!G40</f>
        <v>14439.2</v>
      </c>
      <c r="H51" s="212">
        <f>G51+M51</f>
        <v>17552.900000000001</v>
      </c>
      <c r="I51" s="100">
        <f t="shared" si="2"/>
        <v>0.88432024716974911</v>
      </c>
      <c r="J51" s="100"/>
      <c r="K51" s="99">
        <v>781.7</v>
      </c>
      <c r="L51" s="100">
        <f t="shared" si="4"/>
        <v>22.454778047844442</v>
      </c>
      <c r="M51" s="99">
        <f>муниц!M50+Высокор!M41+Новотр!M40</f>
        <v>3113.7</v>
      </c>
      <c r="N51" s="99">
        <f>муниц!N50+Высокор!N41</f>
        <v>0</v>
      </c>
      <c r="O51" s="100">
        <f t="shared" si="5"/>
        <v>0</v>
      </c>
      <c r="P51" s="108"/>
      <c r="Q51" s="108"/>
      <c r="R51" s="108"/>
      <c r="S51" s="26"/>
    </row>
    <row r="52" spans="1:19" ht="18">
      <c r="A52" s="13" t="s">
        <v>46</v>
      </c>
      <c r="B52" s="24" t="s">
        <v>39</v>
      </c>
      <c r="C52" s="97">
        <f>муниц!C51+Высокор!C42+Новотр!C41</f>
        <v>11.7</v>
      </c>
      <c r="D52" s="162">
        <f>муниц!D51+'Лен '!D47+Высокор!D42+Гост!D40+Новотр!D41+Черн!D41</f>
        <v>9956.4</v>
      </c>
      <c r="E52" s="101">
        <f>C52+D52</f>
        <v>9968.1</v>
      </c>
      <c r="F52" s="97">
        <f>муниц!F50+'Лен '!F47+Высокор!F41+Гост!F40+Новотр!F40+Черн!F41</f>
        <v>0</v>
      </c>
      <c r="G52" s="213">
        <f>муниц!G51+Высокор!G42+Новотр!G41+'Лен '!G47+Гост!G40+Черн!G41</f>
        <v>9707.5</v>
      </c>
      <c r="H52" s="212">
        <f>G52+M52</f>
        <v>9740.6</v>
      </c>
      <c r="I52" s="100">
        <f>IF(E52&gt;0,H52/E52,0)</f>
        <v>0.97717719525285662</v>
      </c>
      <c r="J52" s="100">
        <f>IF(F52&gt;0,H52/F52,0)</f>
        <v>0</v>
      </c>
      <c r="K52" s="97">
        <f>муниц!K51+'Лен '!K47+Высокор!K42+Гост!K40+Новотр!K41+Черн!K41</f>
        <v>99.3</v>
      </c>
      <c r="L52" s="100">
        <f t="shared" si="4"/>
        <v>98.092648539778452</v>
      </c>
      <c r="M52" s="97">
        <f>муниц!M51+Высокор!M42+Новотр!M41+'Лен '!M47+Гост!M40+Черн!M41</f>
        <v>33.1</v>
      </c>
      <c r="N52" s="97">
        <f>муниц!N51+Высокор!N42+Новотр!N41</f>
        <v>0.6</v>
      </c>
      <c r="O52" s="100">
        <f t="shared" si="5"/>
        <v>55.166666666666671</v>
      </c>
      <c r="P52" s="108"/>
      <c r="Q52" s="108"/>
      <c r="R52" s="108"/>
      <c r="S52" s="26"/>
    </row>
    <row r="53" spans="1:19" ht="18">
      <c r="A53" s="8" t="s">
        <v>116</v>
      </c>
      <c r="B53" s="144" t="s">
        <v>115</v>
      </c>
      <c r="C53" s="97"/>
      <c r="D53" s="162"/>
      <c r="E53" s="101"/>
      <c r="F53" s="97"/>
      <c r="G53" s="213">
        <f>муниц!G52+Высокор!G43+Гост!G41+Новотр!G42+'Лен '!G48</f>
        <v>-108</v>
      </c>
      <c r="H53" s="212">
        <f>G53+M53</f>
        <v>0</v>
      </c>
      <c r="I53" s="100"/>
      <c r="J53" s="100"/>
      <c r="K53" s="97"/>
      <c r="L53" s="100"/>
      <c r="M53" s="97">
        <f>муниц!M52+Высокор!M43+Гост!M41+Новотр!M42+'Лен '!M48</f>
        <v>108</v>
      </c>
      <c r="N53" s="97"/>
      <c r="O53" s="100"/>
      <c r="P53" s="108"/>
      <c r="Q53" s="108"/>
      <c r="R53" s="108"/>
      <c r="S53" s="26"/>
    </row>
    <row r="54" spans="1:19" ht="21" customHeight="1">
      <c r="A54" s="8" t="s">
        <v>93</v>
      </c>
      <c r="B54" s="125" t="s">
        <v>94</v>
      </c>
      <c r="C54" s="97"/>
      <c r="D54" s="97">
        <f>муниц!D53</f>
        <v>0</v>
      </c>
      <c r="E54" s="118">
        <f>C54+D54</f>
        <v>0</v>
      </c>
      <c r="F54" s="97"/>
      <c r="G54" s="213">
        <f>муниц!G53+'Лен '!G50</f>
        <v>-358.4</v>
      </c>
      <c r="H54" s="212">
        <f>G54+M54</f>
        <v>-358.4</v>
      </c>
      <c r="I54" s="100"/>
      <c r="J54" s="100"/>
      <c r="K54" s="97">
        <v>-5</v>
      </c>
      <c r="L54" s="100">
        <f t="shared" si="4"/>
        <v>0</v>
      </c>
      <c r="M54" s="97">
        <f>муниц!M53+'Лен '!M50</f>
        <v>0</v>
      </c>
      <c r="N54" s="97">
        <f>муниц!N53</f>
        <v>0</v>
      </c>
      <c r="O54" s="100"/>
      <c r="P54" s="108"/>
      <c r="Q54" s="108"/>
      <c r="R54" s="108"/>
      <c r="S54" s="26"/>
    </row>
    <row r="55" spans="1:19" ht="18">
      <c r="A55" s="16" t="s">
        <v>2</v>
      </c>
      <c r="B55" s="25"/>
      <c r="C55" s="115">
        <f t="shared" ref="C55:F55" si="20">C49+C50+C51+C52+C54</f>
        <v>723695.58199999994</v>
      </c>
      <c r="D55" s="115">
        <f t="shared" si="20"/>
        <v>51234.792999999983</v>
      </c>
      <c r="E55" s="112">
        <f t="shared" si="20"/>
        <v>774930.375</v>
      </c>
      <c r="F55" s="115">
        <f t="shared" si="20"/>
        <v>106166.59</v>
      </c>
      <c r="G55" s="214">
        <f>G49+G50+G51+G52+G54+G53</f>
        <v>701600.49999999988</v>
      </c>
      <c r="H55" s="214">
        <f>H49+H50+H51+H52+H54+H53</f>
        <v>772317.7</v>
      </c>
      <c r="I55" s="116">
        <f t="shared" si="2"/>
        <v>0.99662850356072308</v>
      </c>
      <c r="J55" s="116">
        <f t="shared" si="3"/>
        <v>7.2745832752092721</v>
      </c>
      <c r="K55" s="115">
        <f>K49+K50+K51+K52+K54</f>
        <v>433573.30000000005</v>
      </c>
      <c r="L55" s="116">
        <f t="shared" si="4"/>
        <v>1.7812851944527024</v>
      </c>
      <c r="M55" s="115">
        <f>M49+M50+M51+M52+M54+M53</f>
        <v>70717.2</v>
      </c>
      <c r="N55" s="115">
        <f>N49+N50+N51+N52+N54</f>
        <v>41958.899999999994</v>
      </c>
      <c r="O55" s="116">
        <f t="shared" si="5"/>
        <v>1.6853921337308653</v>
      </c>
      <c r="P55" s="113">
        <f>P49+P50</f>
        <v>5661.6</v>
      </c>
      <c r="Q55" s="113">
        <f>Q49+Q50</f>
        <v>3402.4999999999995</v>
      </c>
      <c r="R55" s="113">
        <f>R49+R50</f>
        <v>3647.5</v>
      </c>
      <c r="S55" s="26"/>
    </row>
    <row r="56" spans="1:19" ht="15">
      <c r="B56" s="26"/>
      <c r="C56" s="26"/>
      <c r="D56" s="26"/>
      <c r="E56" s="26"/>
      <c r="F56" s="26"/>
      <c r="G56" s="26"/>
      <c r="H56" s="27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1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9" ht="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1:19" ht="15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1:19" ht="15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9" ht="15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9" ht="15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1:19" ht="15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9" ht="15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2:18" ht="15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2:18" ht="15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7" spans="2:18" ht="15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2:18" ht="15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</row>
    <row r="69" spans="2:18" ht="15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2:18" ht="15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2:18" ht="15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2:18" ht="15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2:18" ht="15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2:18" ht="15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2:18" ht="15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76" spans="2:18" ht="15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2:18" ht="15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</row>
    <row r="78" spans="2:18" ht="15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2:18" ht="15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2:18" ht="15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2:18" ht="15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2:18" ht="15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2:18" ht="15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2:18" ht="15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2:18" ht="15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2:18" ht="15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2:18" ht="15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</sheetData>
  <mergeCells count="15">
    <mergeCell ref="A1:R1"/>
    <mergeCell ref="A2:R2"/>
    <mergeCell ref="K3:L3"/>
    <mergeCell ref="P3:R3"/>
    <mergeCell ref="M3:M4"/>
    <mergeCell ref="N3:N4"/>
    <mergeCell ref="O3:O4"/>
    <mergeCell ref="H3:J3"/>
    <mergeCell ref="A3:A4"/>
    <mergeCell ref="B3:B4"/>
    <mergeCell ref="D3:D4"/>
    <mergeCell ref="E3:E4"/>
    <mergeCell ref="G3:G4"/>
    <mergeCell ref="F3:F4"/>
    <mergeCell ref="C3:C4"/>
  </mergeCells>
  <phoneticPr fontId="0" type="noConversion"/>
  <pageMargins left="0.35433070866141736" right="0.15748031496062992" top="0.59055118110236227" bottom="0.19685039370078741" header="0.51181102362204722" footer="0.51181102362204722"/>
  <pageSetup paperSize="9" scale="52" fitToWidth="0" orientation="landscape" r:id="rId1"/>
  <headerFooter alignWithMargins="0"/>
  <rowBreaks count="1" manualBreakCount="1">
    <brk id="5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муниц</vt:lpstr>
      <vt:lpstr>Лен </vt:lpstr>
      <vt:lpstr>Высокор</vt:lpstr>
      <vt:lpstr>Гост</vt:lpstr>
      <vt:lpstr>Новотр</vt:lpstr>
      <vt:lpstr>Черн</vt:lpstr>
      <vt:lpstr>консолид</vt:lpstr>
      <vt:lpstr>консолид!Область_печати</vt:lpstr>
      <vt:lpstr>муниц!Область_печати</vt:lpstr>
      <vt:lpstr>Новотр!Область_печати</vt:lpstr>
      <vt:lpstr>Черн!Область_печати</vt:lpstr>
    </vt:vector>
  </TitlesOfParts>
  <Company>Шабалино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ОПД</dc:creator>
  <cp:lastModifiedBy>User</cp:lastModifiedBy>
  <cp:lastPrinted>2024-12-24T12:35:23Z</cp:lastPrinted>
  <dcterms:created xsi:type="dcterms:W3CDTF">2003-11-05T12:49:21Z</dcterms:created>
  <dcterms:modified xsi:type="dcterms:W3CDTF">2025-01-27T12:44:08Z</dcterms:modified>
</cp:coreProperties>
</file>